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13D51147-EE82-411D-B847-EC239D62D9C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Тариф 01.01.2025г." sheetId="6" r:id="rId1"/>
    <sheet name="Айти" sheetId="9" r:id="rId2"/>
    <sheet name="Штат" sheetId="8" r:id="rId3"/>
  </sheets>
  <externalReferences>
    <externalReference r:id="rId4"/>
  </externalReferences>
  <definedNames>
    <definedName name="_xlnm._FilterDatabase" localSheetId="1" hidden="1">Айти!$A$32:$AO$37</definedName>
    <definedName name="_xlnm._FilterDatabase" localSheetId="0" hidden="1">'Тариф 01.01.2025г.'!$A$41:$AO$83</definedName>
    <definedName name="Excel_BuiltIn_Print_Area_7" localSheetId="1">#REF!</definedName>
    <definedName name="Excel_BuiltIn_Print_Area_7">#REF!</definedName>
    <definedName name="БДО" localSheetId="1">#REF!</definedName>
    <definedName name="БДО">#REF!</definedName>
    <definedName name="_xlnm.Print_Area" localSheetId="1">Айти!$A$1:$AX$42</definedName>
    <definedName name="_xlnm.Print_Area" localSheetId="0">'Тариф 01.01.2025г.'!$A$1:$AX$86</definedName>
    <definedName name="_xlnm.Print_Area" localSheetId="2">Штат!$A$1:$AG$59</definedName>
  </definedNames>
  <calcPr calcId="191029"/>
</workbook>
</file>

<file path=xl/calcChain.xml><?xml version="1.0" encoding="utf-8"?>
<calcChain xmlns="http://schemas.openxmlformats.org/spreadsheetml/2006/main">
  <c r="N82" i="6" l="1"/>
  <c r="O82" i="6"/>
  <c r="P82" i="6"/>
  <c r="Q82" i="6"/>
  <c r="AE82" i="6"/>
  <c r="AG82" i="6"/>
  <c r="AH82" i="6"/>
  <c r="AI82" i="6"/>
  <c r="AL82" i="6"/>
  <c r="AM82" i="6"/>
  <c r="AP82" i="6"/>
  <c r="AQ82" i="6"/>
  <c r="AS82" i="6"/>
  <c r="AU82" i="6"/>
  <c r="AW82" i="6"/>
  <c r="M82" i="6"/>
  <c r="AJ46" i="6"/>
  <c r="R81" i="6"/>
  <c r="AB81" i="6" s="1"/>
  <c r="I81" i="6"/>
  <c r="J81" i="6" l="1"/>
  <c r="K81" i="6" s="1"/>
  <c r="J25" i="8"/>
  <c r="L25" i="8" s="1"/>
  <c r="N25" i="8" s="1"/>
  <c r="AC22" i="8"/>
  <c r="J22" i="8"/>
  <c r="S42" i="8"/>
  <c r="S43" i="8"/>
  <c r="S44" i="8"/>
  <c r="S46" i="8"/>
  <c r="S47" i="8"/>
  <c r="L81" i="6" l="1"/>
  <c r="AC81" i="6" s="1"/>
  <c r="O25" i="8"/>
  <c r="AE25" i="8" s="1"/>
  <c r="AF25" i="8" s="1"/>
  <c r="AG25" i="8" s="1"/>
  <c r="L22" i="8"/>
  <c r="N22" i="8" s="1"/>
  <c r="O22" i="8" s="1"/>
  <c r="AA78" i="6"/>
  <c r="AA59" i="6"/>
  <c r="J54" i="8"/>
  <c r="L54" i="8" s="1"/>
  <c r="O54" i="8" s="1"/>
  <c r="W54" i="8"/>
  <c r="AA54" i="8"/>
  <c r="AC54" i="8"/>
  <c r="AE54" i="8"/>
  <c r="AA51" i="8"/>
  <c r="J51" i="8"/>
  <c r="L51" i="8" s="1"/>
  <c r="O51" i="8" s="1"/>
  <c r="AA49" i="8"/>
  <c r="AF49" i="8" s="1"/>
  <c r="J49" i="8"/>
  <c r="AC30" i="8"/>
  <c r="AA30" i="8"/>
  <c r="J30" i="8"/>
  <c r="L30" i="8" s="1"/>
  <c r="AW36" i="9"/>
  <c r="AU36" i="9"/>
  <c r="AS36" i="9"/>
  <c r="AQ36" i="9"/>
  <c r="AP36" i="9"/>
  <c r="AM36" i="9"/>
  <c r="AL36" i="9"/>
  <c r="AI36" i="9"/>
  <c r="AH36" i="9"/>
  <c r="AG36" i="9"/>
  <c r="AE36" i="9"/>
  <c r="Q36" i="9"/>
  <c r="P36" i="9"/>
  <c r="O36" i="9"/>
  <c r="N36" i="9"/>
  <c r="M36" i="9"/>
  <c r="AV35" i="9"/>
  <c r="AT35" i="9"/>
  <c r="AR35" i="9"/>
  <c r="AO35" i="9"/>
  <c r="AN35" i="9"/>
  <c r="AK35" i="9"/>
  <c r="AJ35" i="9"/>
  <c r="Z35" i="9"/>
  <c r="AA35" i="9" s="1"/>
  <c r="R35" i="9"/>
  <c r="I35" i="9"/>
  <c r="AV34" i="9"/>
  <c r="AT34" i="9"/>
  <c r="AR34" i="9"/>
  <c r="AO34" i="9"/>
  <c r="AN34" i="9"/>
  <c r="AK34" i="9"/>
  <c r="AJ34" i="9"/>
  <c r="Z34" i="9"/>
  <c r="AA34" i="9" s="1"/>
  <c r="R34" i="9"/>
  <c r="I34" i="9"/>
  <c r="AS17" i="6"/>
  <c r="AS18" i="6"/>
  <c r="AF54" i="8" l="1"/>
  <c r="AE22" i="8"/>
  <c r="AF22" i="8" s="1"/>
  <c r="AG22" i="8" s="1"/>
  <c r="V81" i="6"/>
  <c r="U81" i="6"/>
  <c r="T81" i="6"/>
  <c r="AT36" i="9"/>
  <c r="AG54" i="8"/>
  <c r="AE51" i="8"/>
  <c r="L49" i="8"/>
  <c r="O49" i="8" s="1"/>
  <c r="N30" i="8"/>
  <c r="O30" i="8" s="1"/>
  <c r="AR36" i="9"/>
  <c r="AK36" i="9"/>
  <c r="AV36" i="9"/>
  <c r="AJ36" i="9"/>
  <c r="AN36" i="9"/>
  <c r="AO36" i="9"/>
  <c r="Z36" i="9"/>
  <c r="AA36" i="9"/>
  <c r="I36" i="9"/>
  <c r="J35" i="9"/>
  <c r="L35" i="9" s="1"/>
  <c r="R36" i="9"/>
  <c r="J34" i="9"/>
  <c r="J29" i="8"/>
  <c r="L29" i="8" s="1"/>
  <c r="N29" i="8" s="1"/>
  <c r="AC29" i="8"/>
  <c r="J28" i="8"/>
  <c r="L28" i="8" s="1"/>
  <c r="N28" i="8" s="1"/>
  <c r="O28" i="8" s="1"/>
  <c r="AE28" i="8" s="1"/>
  <c r="AC28" i="8"/>
  <c r="AA29" i="8"/>
  <c r="AA28" i="8"/>
  <c r="J24" i="8"/>
  <c r="L24" i="8" s="1"/>
  <c r="AJ79" i="6"/>
  <c r="R79" i="6"/>
  <c r="I79" i="6"/>
  <c r="J79" i="6" s="1"/>
  <c r="L79" i="6" s="1"/>
  <c r="AO78" i="6"/>
  <c r="AN78" i="6"/>
  <c r="AJ78" i="6"/>
  <c r="R78" i="6"/>
  <c r="I78" i="6"/>
  <c r="J78" i="6" s="1"/>
  <c r="L78" i="6" s="1"/>
  <c r="W78" i="6" s="1"/>
  <c r="AK63" i="6"/>
  <c r="AK59" i="6"/>
  <c r="AJ57" i="6"/>
  <c r="AK57" i="6"/>
  <c r="AN57" i="6"/>
  <c r="AO57" i="6"/>
  <c r="AR57" i="6"/>
  <c r="AT57" i="6"/>
  <c r="AV57" i="6"/>
  <c r="AJ54" i="6"/>
  <c r="AK54" i="6"/>
  <c r="AN54" i="6"/>
  <c r="AO54" i="6"/>
  <c r="AR54" i="6"/>
  <c r="AT54" i="6"/>
  <c r="AV54" i="6"/>
  <c r="Z54" i="6"/>
  <c r="AA54" i="6" s="1"/>
  <c r="R54" i="6"/>
  <c r="I54" i="6"/>
  <c r="J54" i="6" s="1"/>
  <c r="L54" i="6" s="1"/>
  <c r="U54" i="6" s="1"/>
  <c r="AV77" i="6"/>
  <c r="AT77" i="6"/>
  <c r="AR77" i="6"/>
  <c r="AO77" i="6"/>
  <c r="AN77" i="6"/>
  <c r="AK77" i="6"/>
  <c r="AJ77" i="6"/>
  <c r="Z77" i="6"/>
  <c r="AA77" i="6" s="1"/>
  <c r="R77" i="6"/>
  <c r="I77" i="6"/>
  <c r="J77" i="6" s="1"/>
  <c r="L77" i="6" s="1"/>
  <c r="AS10" i="6"/>
  <c r="AS9" i="6"/>
  <c r="AP32" i="6"/>
  <c r="AQ32" i="6"/>
  <c r="AR32" i="6"/>
  <c r="I56" i="8"/>
  <c r="K56" i="8"/>
  <c r="M56" i="8"/>
  <c r="P56" i="8"/>
  <c r="R56" i="8"/>
  <c r="T56" i="8"/>
  <c r="V56" i="8"/>
  <c r="X56" i="8"/>
  <c r="Z56" i="8"/>
  <c r="AB56" i="8"/>
  <c r="AD56" i="8"/>
  <c r="AF28" i="8" l="1"/>
  <c r="AF51" i="8"/>
  <c r="AG51" i="8" s="1"/>
  <c r="X81" i="6"/>
  <c r="Y81" i="6" s="1"/>
  <c r="AX81" i="6" s="1"/>
  <c r="AD54" i="6"/>
  <c r="AF54" i="6" s="1"/>
  <c r="AB54" i="6"/>
  <c r="AC54" i="6" s="1"/>
  <c r="AB78" i="6"/>
  <c r="AC78" i="6" s="1"/>
  <c r="AD78" i="6"/>
  <c r="AF78" i="6" s="1"/>
  <c r="AB77" i="6"/>
  <c r="AC77" i="6" s="1"/>
  <c r="AD77" i="6"/>
  <c r="AF77" i="6" s="1"/>
  <c r="AD79" i="6"/>
  <c r="AF79" i="6" s="1"/>
  <c r="AB79" i="6"/>
  <c r="AC79" i="6" s="1"/>
  <c r="AG49" i="8"/>
  <c r="AG28" i="8"/>
  <c r="AE30" i="8"/>
  <c r="J36" i="9"/>
  <c r="AD36" i="9"/>
  <c r="W35" i="9"/>
  <c r="V35" i="9"/>
  <c r="U35" i="9"/>
  <c r="T35" i="9"/>
  <c r="AF35" i="9"/>
  <c r="S35" i="9"/>
  <c r="AC35" i="9"/>
  <c r="K35" i="9"/>
  <c r="AB36" i="9"/>
  <c r="K34" i="9"/>
  <c r="L34" i="9"/>
  <c r="O29" i="8"/>
  <c r="N24" i="8"/>
  <c r="O24" i="8" s="1"/>
  <c r="U79" i="6"/>
  <c r="W79" i="6"/>
  <c r="S79" i="6"/>
  <c r="T79" i="6"/>
  <c r="V79" i="6"/>
  <c r="K79" i="6"/>
  <c r="U78" i="6"/>
  <c r="S78" i="6"/>
  <c r="T78" i="6"/>
  <c r="V78" i="6"/>
  <c r="K78" i="6"/>
  <c r="W54" i="6"/>
  <c r="V54" i="6"/>
  <c r="S54" i="6"/>
  <c r="T54" i="6"/>
  <c r="K54" i="6"/>
  <c r="K77" i="6"/>
  <c r="W77" i="6"/>
  <c r="S77" i="6"/>
  <c r="V77" i="6"/>
  <c r="U77" i="6"/>
  <c r="T77" i="6"/>
  <c r="R63" i="6"/>
  <c r="I63" i="6"/>
  <c r="J63" i="6" s="1"/>
  <c r="R61" i="6"/>
  <c r="I61" i="6"/>
  <c r="J61" i="6" s="1"/>
  <c r="AV59" i="6"/>
  <c r="R59" i="6"/>
  <c r="I59" i="6"/>
  <c r="J59" i="6" s="1"/>
  <c r="R57" i="6"/>
  <c r="I57" i="6"/>
  <c r="J57" i="6" s="1"/>
  <c r="Z46" i="6"/>
  <c r="AA46" i="6" s="1"/>
  <c r="R46" i="6"/>
  <c r="I46" i="6"/>
  <c r="J46" i="6" s="1"/>
  <c r="AE24" i="8" l="1"/>
  <c r="AF24" i="8" s="1"/>
  <c r="AG24" i="8" s="1"/>
  <c r="AE29" i="8"/>
  <c r="AF29" i="8" s="1"/>
  <c r="AG29" i="8" s="1"/>
  <c r="AF30" i="8"/>
  <c r="AG30" i="8" s="1"/>
  <c r="AD46" i="6"/>
  <c r="AB46" i="6"/>
  <c r="AD61" i="6"/>
  <c r="AB61" i="6"/>
  <c r="AB57" i="6"/>
  <c r="AD57" i="6"/>
  <c r="AB59" i="6"/>
  <c r="AD59" i="6"/>
  <c r="AB63" i="6"/>
  <c r="AD63" i="6"/>
  <c r="K36" i="9"/>
  <c r="X35" i="9"/>
  <c r="AX35" i="9" s="1"/>
  <c r="T34" i="9"/>
  <c r="AF34" i="9"/>
  <c r="S34" i="9"/>
  <c r="AC34" i="9"/>
  <c r="W34" i="9"/>
  <c r="U34" i="9"/>
  <c r="V34" i="9"/>
  <c r="L36" i="9"/>
  <c r="X78" i="6"/>
  <c r="X79" i="6"/>
  <c r="X54" i="6"/>
  <c r="X77" i="6"/>
  <c r="L63" i="6"/>
  <c r="K63" i="6"/>
  <c r="L61" i="6"/>
  <c r="K61" i="6"/>
  <c r="L59" i="6"/>
  <c r="K59" i="6"/>
  <c r="L57" i="6"/>
  <c r="K57" i="6"/>
  <c r="L46" i="6"/>
  <c r="K46" i="6"/>
  <c r="AV80" i="6"/>
  <c r="AT80" i="6"/>
  <c r="AR80" i="6"/>
  <c r="AO80" i="6"/>
  <c r="AN80" i="6"/>
  <c r="AJ80" i="6"/>
  <c r="AK80" i="6"/>
  <c r="AA80" i="6"/>
  <c r="R80" i="6"/>
  <c r="I80" i="6"/>
  <c r="J80" i="6" s="1"/>
  <c r="K80" i="6" s="1"/>
  <c r="AQ11" i="6"/>
  <c r="AQ6" i="6" s="1"/>
  <c r="AR11" i="6"/>
  <c r="AR6" i="6" s="1"/>
  <c r="R44" i="6"/>
  <c r="R45" i="6"/>
  <c r="R47" i="6"/>
  <c r="R48" i="6"/>
  <c r="AD48" i="6" s="1"/>
  <c r="R49" i="6"/>
  <c r="R50" i="6"/>
  <c r="R51" i="6"/>
  <c r="R52" i="6"/>
  <c r="R53" i="6"/>
  <c r="R55" i="6"/>
  <c r="R56" i="6"/>
  <c r="R58" i="6"/>
  <c r="R60" i="6"/>
  <c r="R62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43" i="6"/>
  <c r="R82" i="6" l="1"/>
  <c r="AF57" i="6"/>
  <c r="AD69" i="6"/>
  <c r="AB69" i="6"/>
  <c r="AD76" i="6"/>
  <c r="AB76" i="6"/>
  <c r="AD72" i="6"/>
  <c r="AB68" i="6"/>
  <c r="AD68" i="6"/>
  <c r="AB64" i="6"/>
  <c r="AD64" i="6"/>
  <c r="AD56" i="6"/>
  <c r="AB56" i="6"/>
  <c r="AD51" i="6"/>
  <c r="AB51" i="6"/>
  <c r="AD47" i="6"/>
  <c r="AB47" i="6"/>
  <c r="AB75" i="6"/>
  <c r="AD75" i="6"/>
  <c r="AB71" i="6"/>
  <c r="AD71" i="6"/>
  <c r="AD67" i="6"/>
  <c r="AB67" i="6"/>
  <c r="AD62" i="6"/>
  <c r="AB62" i="6"/>
  <c r="AD55" i="6"/>
  <c r="AB55" i="6"/>
  <c r="AB50" i="6"/>
  <c r="AD50" i="6"/>
  <c r="AB45" i="6"/>
  <c r="AD45" i="6"/>
  <c r="AD74" i="6"/>
  <c r="AB74" i="6"/>
  <c r="AD70" i="6"/>
  <c r="AB70" i="6"/>
  <c r="AD66" i="6"/>
  <c r="AB66" i="6"/>
  <c r="AB60" i="6"/>
  <c r="AD60" i="6"/>
  <c r="AB53" i="6"/>
  <c r="AD53" i="6"/>
  <c r="AD49" i="6"/>
  <c r="AB49" i="6"/>
  <c r="AD44" i="6"/>
  <c r="AB44" i="6"/>
  <c r="AD80" i="6"/>
  <c r="AB80" i="6"/>
  <c r="AD73" i="6"/>
  <c r="AB73" i="6"/>
  <c r="AD65" i="6"/>
  <c r="AB65" i="6"/>
  <c r="AD58" i="6"/>
  <c r="AB58" i="6"/>
  <c r="AD52" i="6"/>
  <c r="AB52" i="6"/>
  <c r="Y54" i="6"/>
  <c r="AX54" i="6" s="1"/>
  <c r="Y78" i="6"/>
  <c r="AX78" i="6" s="1"/>
  <c r="V36" i="9"/>
  <c r="U36" i="9"/>
  <c r="W36" i="9"/>
  <c r="AC36" i="9"/>
  <c r="X34" i="9"/>
  <c r="AX34" i="9" s="1"/>
  <c r="S36" i="9"/>
  <c r="AF36" i="9"/>
  <c r="T36" i="9"/>
  <c r="Y79" i="6"/>
  <c r="AX79" i="6" s="1"/>
  <c r="W61" i="6"/>
  <c r="U61" i="6"/>
  <c r="AC59" i="6"/>
  <c r="U59" i="6"/>
  <c r="Y77" i="6"/>
  <c r="AX77" i="6" s="1"/>
  <c r="AF46" i="6"/>
  <c r="AF63" i="6"/>
  <c r="U63" i="6"/>
  <c r="S63" i="6"/>
  <c r="AC63" i="6"/>
  <c r="V63" i="6"/>
  <c r="T63" i="6"/>
  <c r="AC61" i="6"/>
  <c r="V61" i="6"/>
  <c r="T61" i="6"/>
  <c r="AF59" i="6"/>
  <c r="W59" i="6"/>
  <c r="T59" i="6"/>
  <c r="V59" i="6"/>
  <c r="S59" i="6"/>
  <c r="V57" i="6"/>
  <c r="W57" i="6"/>
  <c r="S57" i="6"/>
  <c r="T57" i="6"/>
  <c r="U57" i="6"/>
  <c r="AC57" i="6"/>
  <c r="AC46" i="6"/>
  <c r="S46" i="6"/>
  <c r="W46" i="6"/>
  <c r="U46" i="6"/>
  <c r="V46" i="6"/>
  <c r="T46" i="6"/>
  <c r="L80" i="6"/>
  <c r="W55" i="8"/>
  <c r="J55" i="8"/>
  <c r="L55" i="8" s="1"/>
  <c r="O55" i="8" s="1"/>
  <c r="J50" i="8"/>
  <c r="N50" i="8" s="1"/>
  <c r="AA50" i="8"/>
  <c r="J47" i="8"/>
  <c r="N47" i="8" s="1"/>
  <c r="AA47" i="8"/>
  <c r="X36" i="9" l="1"/>
  <c r="AE55" i="8"/>
  <c r="X63" i="6"/>
  <c r="X61" i="6"/>
  <c r="X59" i="6"/>
  <c r="X57" i="6"/>
  <c r="X46" i="6"/>
  <c r="AF80" i="6"/>
  <c r="T80" i="6"/>
  <c r="V80" i="6"/>
  <c r="W80" i="6"/>
  <c r="S80" i="6"/>
  <c r="U80" i="6"/>
  <c r="AC80" i="6"/>
  <c r="L50" i="8"/>
  <c r="O50" i="8" s="1"/>
  <c r="L47" i="8"/>
  <c r="O47" i="8" s="1"/>
  <c r="AE50" i="8"/>
  <c r="AF50" i="8" s="1"/>
  <c r="AE47" i="8"/>
  <c r="AF47" i="8" s="1"/>
  <c r="J31" i="8"/>
  <c r="L31" i="8" s="1"/>
  <c r="AA31" i="8"/>
  <c r="AC31" i="8"/>
  <c r="AF55" i="8" l="1"/>
  <c r="AG55" i="8" s="1"/>
  <c r="Y61" i="6"/>
  <c r="AX61" i="6" s="1"/>
  <c r="Y46" i="6"/>
  <c r="AX46" i="6" s="1"/>
  <c r="Y36" i="9"/>
  <c r="AX36" i="9"/>
  <c r="Y57" i="6"/>
  <c r="AX57" i="6" s="1"/>
  <c r="AG50" i="8"/>
  <c r="Y63" i="6"/>
  <c r="AX63" i="6" s="1"/>
  <c r="Y59" i="6"/>
  <c r="AX59" i="6" s="1"/>
  <c r="X80" i="6"/>
  <c r="AG47" i="8"/>
  <c r="O31" i="8"/>
  <c r="AE31" i="8" s="1"/>
  <c r="AC53" i="8"/>
  <c r="AA53" i="8"/>
  <c r="AF53" i="8" s="1"/>
  <c r="W53" i="8"/>
  <c r="J53" i="8"/>
  <c r="AE53" i="8" s="1"/>
  <c r="AC52" i="8"/>
  <c r="AA52" i="8"/>
  <c r="AF52" i="8" s="1"/>
  <c r="W52" i="8"/>
  <c r="J52" i="8"/>
  <c r="AE52" i="8" s="1"/>
  <c r="AA48" i="8"/>
  <c r="Y48" i="8"/>
  <c r="J48" i="8"/>
  <c r="AF31" i="8" l="1"/>
  <c r="AG31" i="8" s="1"/>
  <c r="Y80" i="6"/>
  <c r="AX80" i="6" s="1"/>
  <c r="L53" i="8"/>
  <c r="O53" i="8" s="1"/>
  <c r="L52" i="8"/>
  <c r="O52" i="8" s="1"/>
  <c r="L48" i="8"/>
  <c r="N48" i="8" s="1"/>
  <c r="AC46" i="8"/>
  <c r="AA46" i="8"/>
  <c r="Y46" i="8"/>
  <c r="W46" i="8"/>
  <c r="J46" i="8"/>
  <c r="AE46" i="8" s="1"/>
  <c r="AF46" i="8" s="1"/>
  <c r="J37" i="8"/>
  <c r="L37" i="8" s="1"/>
  <c r="S37" i="8"/>
  <c r="W37" i="8"/>
  <c r="Y37" i="8"/>
  <c r="AA37" i="8"/>
  <c r="AC37" i="8"/>
  <c r="J38" i="8"/>
  <c r="L38" i="8" s="1"/>
  <c r="S38" i="8"/>
  <c r="W38" i="8"/>
  <c r="Y38" i="8"/>
  <c r="AA38" i="8"/>
  <c r="AC38" i="8"/>
  <c r="J39" i="8"/>
  <c r="L39" i="8" s="1"/>
  <c r="S39" i="8"/>
  <c r="W39" i="8"/>
  <c r="Y39" i="8"/>
  <c r="AA39" i="8"/>
  <c r="AC39" i="8"/>
  <c r="J40" i="8"/>
  <c r="L40" i="8" s="1"/>
  <c r="S40" i="8"/>
  <c r="W40" i="8"/>
  <c r="Y40" i="8"/>
  <c r="AA40" i="8"/>
  <c r="AC40" i="8"/>
  <c r="AA45" i="8"/>
  <c r="Y45" i="8"/>
  <c r="J45" i="8"/>
  <c r="AA44" i="8"/>
  <c r="AF44" i="8" s="1"/>
  <c r="J44" i="8"/>
  <c r="AE48" i="8" l="1"/>
  <c r="AG52" i="8"/>
  <c r="AG53" i="8"/>
  <c r="L46" i="8"/>
  <c r="O48" i="8"/>
  <c r="U48" i="8" s="1"/>
  <c r="AF48" i="8" s="1"/>
  <c r="N46" i="8"/>
  <c r="AE40" i="8"/>
  <c r="AF40" i="8" s="1"/>
  <c r="N40" i="8"/>
  <c r="O40" i="8" s="1"/>
  <c r="AE39" i="8"/>
  <c r="AF39" i="8" s="1"/>
  <c r="N39" i="8"/>
  <c r="O39" i="8" s="1"/>
  <c r="AE38" i="8"/>
  <c r="AF38" i="8" s="1"/>
  <c r="N38" i="8"/>
  <c r="O38" i="8" s="1"/>
  <c r="AE37" i="8"/>
  <c r="AF37" i="8" s="1"/>
  <c r="N37" i="8"/>
  <c r="O37" i="8" s="1"/>
  <c r="L45" i="8"/>
  <c r="N45" i="8" s="1"/>
  <c r="L44" i="8"/>
  <c r="O44" i="8" s="1"/>
  <c r="O45" i="8" l="1"/>
  <c r="U45" i="8" s="1"/>
  <c r="AG48" i="8"/>
  <c r="AE45" i="8"/>
  <c r="O46" i="8"/>
  <c r="AG46" i="8" s="1"/>
  <c r="AG39" i="8"/>
  <c r="AG40" i="8"/>
  <c r="AG37" i="8"/>
  <c r="AG38" i="8"/>
  <c r="AG44" i="8"/>
  <c r="AF45" i="8" l="1"/>
  <c r="AG45" i="8" s="1"/>
  <c r="I74" i="6"/>
  <c r="J74" i="6" l="1"/>
  <c r="L74" i="6" s="1"/>
  <c r="W74" i="6" s="1"/>
  <c r="K74" i="6" l="1"/>
  <c r="AV44" i="6"/>
  <c r="AV45" i="6"/>
  <c r="AV47" i="6"/>
  <c r="AV48" i="6"/>
  <c r="AV49" i="6"/>
  <c r="AV50" i="6"/>
  <c r="AV51" i="6"/>
  <c r="AV52" i="6"/>
  <c r="AV53" i="6"/>
  <c r="AV55" i="6"/>
  <c r="AV56" i="6"/>
  <c r="AV58" i="6"/>
  <c r="AV60" i="6"/>
  <c r="AV62" i="6"/>
  <c r="AV64" i="6"/>
  <c r="AV65" i="6"/>
  <c r="AV66" i="6"/>
  <c r="AV67" i="6"/>
  <c r="AV68" i="6"/>
  <c r="AV69" i="6"/>
  <c r="AV70" i="6"/>
  <c r="AV71" i="6"/>
  <c r="AV72" i="6"/>
  <c r="AV73" i="6"/>
  <c r="AV74" i="6"/>
  <c r="AV75" i="6"/>
  <c r="AV76" i="6"/>
  <c r="AV43" i="6"/>
  <c r="AP11" i="6"/>
  <c r="AS19" i="6"/>
  <c r="AS24" i="6"/>
  <c r="AV82" i="6" l="1"/>
  <c r="AS11" i="6"/>
  <c r="AP6" i="6"/>
  <c r="AS6" i="6" s="1"/>
  <c r="AC32" i="8"/>
  <c r="AA32" i="8"/>
  <c r="Y32" i="8"/>
  <c r="W32" i="8"/>
  <c r="AF32" i="8" s="1"/>
  <c r="J32" i="8"/>
  <c r="N32" i="8" s="1"/>
  <c r="L32" i="8" l="1"/>
  <c r="O32" i="8" s="1"/>
  <c r="Z76" i="6"/>
  <c r="AA76" i="6" s="1"/>
  <c r="AJ76" i="6"/>
  <c r="AK76" i="6"/>
  <c r="AN76" i="6"/>
  <c r="AO76" i="6"/>
  <c r="AR76" i="6"/>
  <c r="AT76" i="6"/>
  <c r="I76" i="6"/>
  <c r="J76" i="6" s="1"/>
  <c r="K76" i="6" s="1"/>
  <c r="AG32" i="8" l="1"/>
  <c r="L76" i="6"/>
  <c r="W76" i="6" s="1"/>
  <c r="U76" i="6" l="1"/>
  <c r="AC76" i="6"/>
  <c r="V76" i="6"/>
  <c r="AF76" i="6"/>
  <c r="S76" i="6"/>
  <c r="T76" i="6"/>
  <c r="X76" i="6" l="1"/>
  <c r="Y76" i="6" l="1"/>
  <c r="AX76" i="6" s="1"/>
  <c r="J35" i="8"/>
  <c r="AE35" i="8" s="1"/>
  <c r="S35" i="8"/>
  <c r="W35" i="8"/>
  <c r="Y35" i="8"/>
  <c r="AA35" i="8"/>
  <c r="AC35" i="8"/>
  <c r="AA33" i="8"/>
  <c r="AA34" i="8"/>
  <c r="AA36" i="8"/>
  <c r="AA41" i="8"/>
  <c r="AA42" i="8"/>
  <c r="AA43" i="8"/>
  <c r="AF35" i="8" l="1"/>
  <c r="L35" i="8"/>
  <c r="N35" i="8"/>
  <c r="AA64" i="6"/>
  <c r="AA73" i="6"/>
  <c r="Z48" i="6"/>
  <c r="AA48" i="6" s="1"/>
  <c r="Z49" i="6"/>
  <c r="AA49" i="6" s="1"/>
  <c r="Z50" i="6"/>
  <c r="AA50" i="6" s="1"/>
  <c r="Z51" i="6"/>
  <c r="AA51" i="6" s="1"/>
  <c r="Z52" i="6"/>
  <c r="AA52" i="6" s="1"/>
  <c r="Z53" i="6"/>
  <c r="AA53" i="6" s="1"/>
  <c r="Z55" i="6"/>
  <c r="AA55" i="6" s="1"/>
  <c r="Z56" i="6"/>
  <c r="AA56" i="6" s="1"/>
  <c r="Z58" i="6"/>
  <c r="AA58" i="6" s="1"/>
  <c r="Z60" i="6"/>
  <c r="AA60" i="6" s="1"/>
  <c r="Z62" i="6"/>
  <c r="AA62" i="6" s="1"/>
  <c r="Z65" i="6"/>
  <c r="AA65" i="6" s="1"/>
  <c r="Z66" i="6"/>
  <c r="AA66" i="6" s="1"/>
  <c r="Z67" i="6"/>
  <c r="AA67" i="6" s="1"/>
  <c r="Z68" i="6"/>
  <c r="AA68" i="6" s="1"/>
  <c r="Z69" i="6"/>
  <c r="AA69" i="6" s="1"/>
  <c r="Z70" i="6"/>
  <c r="AA70" i="6" s="1"/>
  <c r="Z71" i="6"/>
  <c r="AA71" i="6" s="1"/>
  <c r="Z72" i="6"/>
  <c r="AA72" i="6" s="1"/>
  <c r="Z74" i="6"/>
  <c r="AA74" i="6" s="1"/>
  <c r="Z75" i="6"/>
  <c r="AA75" i="6" s="1"/>
  <c r="Z43" i="6"/>
  <c r="Z44" i="6"/>
  <c r="Z45" i="6"/>
  <c r="AA45" i="6" s="1"/>
  <c r="AN49" i="6"/>
  <c r="AC42" i="8"/>
  <c r="AC43" i="8"/>
  <c r="W41" i="8"/>
  <c r="W42" i="8"/>
  <c r="W43" i="8"/>
  <c r="J42" i="8"/>
  <c r="AE42" i="8" s="1"/>
  <c r="J43" i="8"/>
  <c r="L43" i="8" s="1"/>
  <c r="AF42" i="8" l="1"/>
  <c r="AA44" i="6"/>
  <c r="O35" i="8"/>
  <c r="AG35" i="8" s="1"/>
  <c r="AA43" i="6"/>
  <c r="L42" i="8"/>
  <c r="O42" i="8" s="1"/>
  <c r="O43" i="8"/>
  <c r="AE43" i="8"/>
  <c r="AF43" i="8" s="1"/>
  <c r="AG42" i="8" l="1"/>
  <c r="AG43" i="8"/>
  <c r="AJ73" i="6" l="1"/>
  <c r="AK73" i="6"/>
  <c r="AN73" i="6"/>
  <c r="AO73" i="6"/>
  <c r="AR73" i="6"/>
  <c r="AT73" i="6"/>
  <c r="I73" i="6" l="1"/>
  <c r="I44" i="6"/>
  <c r="I45" i="6"/>
  <c r="I47" i="6"/>
  <c r="I48" i="6"/>
  <c r="I49" i="6"/>
  <c r="I50" i="6"/>
  <c r="I51" i="6"/>
  <c r="I52" i="6"/>
  <c r="I53" i="6"/>
  <c r="I55" i="6"/>
  <c r="I56" i="6"/>
  <c r="I58" i="6"/>
  <c r="I60" i="6"/>
  <c r="I62" i="6"/>
  <c r="I64" i="6"/>
  <c r="I65" i="6"/>
  <c r="I66" i="6"/>
  <c r="I67" i="6"/>
  <c r="I68" i="6"/>
  <c r="I69" i="6"/>
  <c r="I70" i="6"/>
  <c r="I71" i="6"/>
  <c r="I72" i="6"/>
  <c r="I75" i="6"/>
  <c r="J67" i="6" l="1"/>
  <c r="K67" i="6" s="1"/>
  <c r="J72" i="6"/>
  <c r="K72" i="6" s="1"/>
  <c r="J66" i="6"/>
  <c r="K66" i="6" s="1"/>
  <c r="J62" i="6"/>
  <c r="L62" i="6" s="1"/>
  <c r="W62" i="6" s="1"/>
  <c r="J56" i="6"/>
  <c r="K56" i="6" s="1"/>
  <c r="J51" i="6"/>
  <c r="K51" i="6" s="1"/>
  <c r="J48" i="6"/>
  <c r="K48" i="6" s="1"/>
  <c r="J69" i="6"/>
  <c r="L69" i="6" s="1"/>
  <c r="W69" i="6" s="1"/>
  <c r="J52" i="6"/>
  <c r="L52" i="6" s="1"/>
  <c r="W52" i="6" s="1"/>
  <c r="J45" i="6"/>
  <c r="K45" i="6" s="1"/>
  <c r="J71" i="6"/>
  <c r="K71" i="6" s="1"/>
  <c r="J60" i="6"/>
  <c r="L60" i="6" s="1"/>
  <c r="W60" i="6" s="1"/>
  <c r="J55" i="6"/>
  <c r="K55" i="6" s="1"/>
  <c r="J50" i="6"/>
  <c r="L50" i="6" s="1"/>
  <c r="W50" i="6" s="1"/>
  <c r="J47" i="6"/>
  <c r="L47" i="6" s="1"/>
  <c r="W47" i="6" s="1"/>
  <c r="J44" i="6"/>
  <c r="K44" i="6" s="1"/>
  <c r="J73" i="6"/>
  <c r="K73" i="6" s="1"/>
  <c r="J75" i="6"/>
  <c r="L75" i="6" s="1"/>
  <c r="W75" i="6" s="1"/>
  <c r="J68" i="6"/>
  <c r="K68" i="6" s="1"/>
  <c r="J64" i="6"/>
  <c r="L64" i="6" s="1"/>
  <c r="W64" i="6" s="1"/>
  <c r="J58" i="6"/>
  <c r="K58" i="6" s="1"/>
  <c r="J53" i="6"/>
  <c r="K53" i="6" s="1"/>
  <c r="J70" i="6"/>
  <c r="L70" i="6" s="1"/>
  <c r="W70" i="6" s="1"/>
  <c r="J65" i="6"/>
  <c r="K65" i="6" s="1"/>
  <c r="J49" i="6"/>
  <c r="L49" i="6" s="1"/>
  <c r="W49" i="6" s="1"/>
  <c r="AT44" i="6"/>
  <c r="AT45" i="6"/>
  <c r="AT47" i="6"/>
  <c r="AT48" i="6"/>
  <c r="AT49" i="6"/>
  <c r="AT50" i="6"/>
  <c r="AT51" i="6"/>
  <c r="AT52" i="6"/>
  <c r="AT53" i="6"/>
  <c r="AT55" i="6"/>
  <c r="AT56" i="6"/>
  <c r="AT58" i="6"/>
  <c r="AT60" i="6"/>
  <c r="AT62" i="6"/>
  <c r="AT64" i="6"/>
  <c r="AT65" i="6"/>
  <c r="AT66" i="6"/>
  <c r="AT67" i="6"/>
  <c r="AT68" i="6"/>
  <c r="AT69" i="6"/>
  <c r="AT70" i="6"/>
  <c r="AT71" i="6"/>
  <c r="AT72" i="6"/>
  <c r="AT74" i="6"/>
  <c r="AT75" i="6"/>
  <c r="AT43" i="6"/>
  <c r="Y34" i="8"/>
  <c r="Y36" i="8"/>
  <c r="Y41" i="8"/>
  <c r="AT82" i="6" l="1"/>
  <c r="U62" i="6"/>
  <c r="L66" i="6"/>
  <c r="U66" i="6" s="1"/>
  <c r="L56" i="6"/>
  <c r="W56" i="6" s="1"/>
  <c r="K52" i="6"/>
  <c r="K60" i="6"/>
  <c r="L71" i="6"/>
  <c r="L44" i="6"/>
  <c r="W44" i="6" s="1"/>
  <c r="L73" i="6"/>
  <c r="L53" i="6"/>
  <c r="W53" i="6" s="1"/>
  <c r="K50" i="6"/>
  <c r="K64" i="6"/>
  <c r="L51" i="6"/>
  <c r="W51" i="6" s="1"/>
  <c r="L72" i="6"/>
  <c r="L68" i="6"/>
  <c r="K75" i="6"/>
  <c r="L55" i="6"/>
  <c r="W55" i="6" s="1"/>
  <c r="L48" i="6"/>
  <c r="W48" i="6" s="1"/>
  <c r="K70" i="6"/>
  <c r="K69" i="6"/>
  <c r="K49" i="6"/>
  <c r="L58" i="6"/>
  <c r="W58" i="6" s="1"/>
  <c r="K47" i="6"/>
  <c r="L65" i="6"/>
  <c r="L45" i="6"/>
  <c r="W45" i="6" s="1"/>
  <c r="K62" i="6"/>
  <c r="L67" i="6"/>
  <c r="AC60" i="6"/>
  <c r="AC52" i="6"/>
  <c r="S52" i="6"/>
  <c r="V62" i="6"/>
  <c r="AC69" i="6"/>
  <c r="AF52" i="6"/>
  <c r="S62" i="6"/>
  <c r="AC47" i="6"/>
  <c r="AC74" i="6"/>
  <c r="U52" i="6"/>
  <c r="AC75" i="6"/>
  <c r="V49" i="6"/>
  <c r="AC49" i="6"/>
  <c r="U49" i="6"/>
  <c r="AC62" i="6"/>
  <c r="AC50" i="6"/>
  <c r="T52" i="6"/>
  <c r="AF62" i="6"/>
  <c r="AC70" i="6"/>
  <c r="V52" i="6"/>
  <c r="T62" i="6"/>
  <c r="AC64" i="6"/>
  <c r="T70" i="6"/>
  <c r="U70" i="6"/>
  <c r="V70" i="6"/>
  <c r="S70" i="6"/>
  <c r="AF49" i="6"/>
  <c r="S49" i="6"/>
  <c r="T49" i="6"/>
  <c r="AF70" i="6"/>
  <c r="AF50" i="6"/>
  <c r="V50" i="6"/>
  <c r="T50" i="6"/>
  <c r="U50" i="6"/>
  <c r="S50" i="6"/>
  <c r="T66" i="6"/>
  <c r="AF60" i="6"/>
  <c r="V60" i="6"/>
  <c r="T60" i="6"/>
  <c r="U60" i="6"/>
  <c r="S60" i="6"/>
  <c r="AF47" i="6"/>
  <c r="V47" i="6"/>
  <c r="T47" i="6"/>
  <c r="U47" i="6"/>
  <c r="S47" i="6"/>
  <c r="AF74" i="6"/>
  <c r="V74" i="6"/>
  <c r="U74" i="6"/>
  <c r="S74" i="6"/>
  <c r="T74" i="6"/>
  <c r="AF64" i="6"/>
  <c r="U64" i="6"/>
  <c r="V64" i="6"/>
  <c r="T64" i="6"/>
  <c r="S64" i="6"/>
  <c r="AF69" i="6"/>
  <c r="U69" i="6"/>
  <c r="V69" i="6"/>
  <c r="T69" i="6"/>
  <c r="S69" i="6"/>
  <c r="AF75" i="6"/>
  <c r="U75" i="6"/>
  <c r="V75" i="6"/>
  <c r="T75" i="6"/>
  <c r="S75" i="6"/>
  <c r="AC56" i="6" l="1"/>
  <c r="V66" i="6"/>
  <c r="AF66" i="6"/>
  <c r="S66" i="6"/>
  <c r="X49" i="6"/>
  <c r="X47" i="6"/>
  <c r="X70" i="6"/>
  <c r="T45" i="6"/>
  <c r="AC48" i="6"/>
  <c r="U71" i="6"/>
  <c r="W71" i="6"/>
  <c r="U56" i="6"/>
  <c r="X75" i="6"/>
  <c r="X74" i="6"/>
  <c r="X60" i="6"/>
  <c r="X62" i="6"/>
  <c r="U67" i="6"/>
  <c r="W67" i="6"/>
  <c r="U65" i="6"/>
  <c r="W65" i="6"/>
  <c r="U55" i="6"/>
  <c r="V72" i="6"/>
  <c r="W72" i="6"/>
  <c r="AC53" i="6"/>
  <c r="AC66" i="6"/>
  <c r="W66" i="6"/>
  <c r="X69" i="6"/>
  <c r="X52" i="6"/>
  <c r="V51" i="6"/>
  <c r="AC73" i="6"/>
  <c r="W73" i="6"/>
  <c r="X64" i="6"/>
  <c r="X50" i="6"/>
  <c r="V58" i="6"/>
  <c r="U68" i="6"/>
  <c r="W68" i="6"/>
  <c r="U44" i="6"/>
  <c r="V56" i="6"/>
  <c r="AF48" i="6"/>
  <c r="S45" i="6"/>
  <c r="U53" i="6"/>
  <c r="T56" i="6"/>
  <c r="U73" i="6"/>
  <c r="S56" i="6"/>
  <c r="AF56" i="6"/>
  <c r="V71" i="6"/>
  <c r="AC51" i="6"/>
  <c r="AF53" i="6"/>
  <c r="S51" i="6"/>
  <c r="U51" i="6"/>
  <c r="AF44" i="6"/>
  <c r="S53" i="6"/>
  <c r="AF67" i="6"/>
  <c r="AF51" i="6"/>
  <c r="T44" i="6"/>
  <c r="S48" i="6"/>
  <c r="U48" i="6"/>
  <c r="T48" i="6"/>
  <c r="V44" i="6"/>
  <c r="AF73" i="6"/>
  <c r="V48" i="6"/>
  <c r="S44" i="6"/>
  <c r="T71" i="6"/>
  <c r="AF71" i="6"/>
  <c r="S71" i="6"/>
  <c r="AC71" i="6"/>
  <c r="T65" i="6"/>
  <c r="V68" i="6"/>
  <c r="V73" i="6"/>
  <c r="S73" i="6"/>
  <c r="T73" i="6"/>
  <c r="V45" i="6"/>
  <c r="S55" i="6"/>
  <c r="T53" i="6"/>
  <c r="S67" i="6"/>
  <c r="T51" i="6"/>
  <c r="V53" i="6"/>
  <c r="T67" i="6"/>
  <c r="AF45" i="6"/>
  <c r="AF55" i="6"/>
  <c r="S58" i="6"/>
  <c r="AC58" i="6"/>
  <c r="AF58" i="6"/>
  <c r="S72" i="6"/>
  <c r="U72" i="6"/>
  <c r="AC65" i="6"/>
  <c r="T68" i="6"/>
  <c r="AF68" i="6"/>
  <c r="S65" i="6"/>
  <c r="V65" i="6"/>
  <c r="AC68" i="6"/>
  <c r="S68" i="6"/>
  <c r="AF65" i="6"/>
  <c r="AC72" i="6"/>
  <c r="T72" i="6"/>
  <c r="AF72" i="6"/>
  <c r="U58" i="6"/>
  <c r="V55" i="6"/>
  <c r="V67" i="6"/>
  <c r="U45" i="6"/>
  <c r="T58" i="6"/>
  <c r="AC67" i="6"/>
  <c r="AC55" i="6"/>
  <c r="T55" i="6"/>
  <c r="X66" i="6" l="1"/>
  <c r="X68" i="6"/>
  <c r="X72" i="6"/>
  <c r="X48" i="6"/>
  <c r="X71" i="6"/>
  <c r="X67" i="6"/>
  <c r="X56" i="6"/>
  <c r="X45" i="6"/>
  <c r="X53" i="6"/>
  <c r="X51" i="6"/>
  <c r="X65" i="6"/>
  <c r="X58" i="6"/>
  <c r="X55" i="6"/>
  <c r="X73" i="6"/>
  <c r="X44" i="6"/>
  <c r="AD43" i="6"/>
  <c r="AD82" i="6" s="1"/>
  <c r="AB43" i="6"/>
  <c r="AB82" i="6" s="1"/>
  <c r="AC27" i="8"/>
  <c r="AA27" i="8"/>
  <c r="Y27" i="8"/>
  <c r="W27" i="8"/>
  <c r="S27" i="8"/>
  <c r="J27" i="8"/>
  <c r="L27" i="8" s="1"/>
  <c r="AC26" i="8"/>
  <c r="AA26" i="8"/>
  <c r="Y26" i="8"/>
  <c r="W26" i="8"/>
  <c r="S26" i="8"/>
  <c r="J26" i="8"/>
  <c r="L26" i="8" s="1"/>
  <c r="J20" i="8"/>
  <c r="S20" i="8"/>
  <c r="W20" i="8"/>
  <c r="Y20" i="8"/>
  <c r="AA20" i="8"/>
  <c r="AC20" i="8"/>
  <c r="J21" i="8"/>
  <c r="W21" i="8"/>
  <c r="Y21" i="8"/>
  <c r="AA21" i="8"/>
  <c r="AC21" i="8"/>
  <c r="J23" i="8"/>
  <c r="S23" i="8"/>
  <c r="W23" i="8"/>
  <c r="Y23" i="8"/>
  <c r="AA23" i="8"/>
  <c r="AC23" i="8"/>
  <c r="J33" i="8"/>
  <c r="S33" i="8"/>
  <c r="W33" i="8"/>
  <c r="Y33" i="8"/>
  <c r="AC33" i="8"/>
  <c r="E34" i="8"/>
  <c r="F34" i="8"/>
  <c r="J34" i="8"/>
  <c r="AE34" i="8" s="1"/>
  <c r="S34" i="8"/>
  <c r="W34" i="8"/>
  <c r="AC34" i="8"/>
  <c r="E36" i="8"/>
  <c r="F36" i="8"/>
  <c r="J36" i="8"/>
  <c r="S36" i="8"/>
  <c r="W36" i="8"/>
  <c r="AC36" i="8"/>
  <c r="F41" i="8"/>
  <c r="J41" i="8"/>
  <c r="S41" i="8"/>
  <c r="AC41" i="8"/>
  <c r="AF34" i="8" l="1"/>
  <c r="Y73" i="6"/>
  <c r="AX73" i="6" s="1"/>
  <c r="AA56" i="8"/>
  <c r="S56" i="8"/>
  <c r="Y56" i="8"/>
  <c r="L20" i="8"/>
  <c r="J56" i="8"/>
  <c r="W56" i="8"/>
  <c r="AC56" i="8"/>
  <c r="U56" i="8"/>
  <c r="N41" i="8"/>
  <c r="L41" i="8"/>
  <c r="N36" i="8"/>
  <c r="L36" i="8"/>
  <c r="N33" i="8"/>
  <c r="L33" i="8"/>
  <c r="L23" i="8"/>
  <c r="N23" i="8" s="1"/>
  <c r="O23" i="8" s="1"/>
  <c r="AE23" i="8" s="1"/>
  <c r="AF23" i="8" s="1"/>
  <c r="N34" i="8"/>
  <c r="L34" i="8"/>
  <c r="L21" i="8"/>
  <c r="AE41" i="8"/>
  <c r="AF41" i="8" s="1"/>
  <c r="AE33" i="8"/>
  <c r="AF33" i="8" s="1"/>
  <c r="AE36" i="8"/>
  <c r="AF36" i="8" s="1"/>
  <c r="L56" i="8" l="1"/>
  <c r="N20" i="8"/>
  <c r="O20" i="8" s="1"/>
  <c r="O33" i="8"/>
  <c r="AG33" i="8" s="1"/>
  <c r="O36" i="8"/>
  <c r="AG36" i="8" s="1"/>
  <c r="O34" i="8"/>
  <c r="AG34" i="8" s="1"/>
  <c r="O41" i="8"/>
  <c r="AG41" i="8" s="1"/>
  <c r="N21" i="8"/>
  <c r="O21" i="8" s="1"/>
  <c r="N27" i="8"/>
  <c r="O27" i="8" s="1"/>
  <c r="Q27" i="8" s="1"/>
  <c r="N26" i="8"/>
  <c r="AG23" i="8"/>
  <c r="N56" i="8" l="1"/>
  <c r="Q21" i="8"/>
  <c r="AE21" i="8"/>
  <c r="AE20" i="8"/>
  <c r="AF20" i="8" s="1"/>
  <c r="AE27" i="8"/>
  <c r="O26" i="8"/>
  <c r="O56" i="8" s="1"/>
  <c r="Q56" i="8" l="1"/>
  <c r="AF21" i="8"/>
  <c r="AF27" i="8"/>
  <c r="AG27" i="8" s="1"/>
  <c r="AG20" i="8"/>
  <c r="AG21" i="8"/>
  <c r="AE26" i="8"/>
  <c r="AE56" i="8" l="1"/>
  <c r="AF26" i="8"/>
  <c r="AF56" i="8" s="1"/>
  <c r="Z47" i="6"/>
  <c r="Z82" i="6" s="1"/>
  <c r="AA47" i="6" l="1"/>
  <c r="AA82" i="6" s="1"/>
  <c r="AG26" i="8"/>
  <c r="AG56" i="8" s="1"/>
  <c r="AK44" i="6" l="1"/>
  <c r="AK45" i="6"/>
  <c r="AK47" i="6"/>
  <c r="AK48" i="6"/>
  <c r="AK49" i="6"/>
  <c r="AK50" i="6"/>
  <c r="AK51" i="6"/>
  <c r="AK52" i="6"/>
  <c r="AK53" i="6"/>
  <c r="AK55" i="6"/>
  <c r="AK56" i="6"/>
  <c r="AK58" i="6"/>
  <c r="AK60" i="6"/>
  <c r="AK62" i="6"/>
  <c r="AK64" i="6"/>
  <c r="AK65" i="6"/>
  <c r="AK66" i="6"/>
  <c r="AK67" i="6"/>
  <c r="AK68" i="6"/>
  <c r="AK69" i="6"/>
  <c r="AK70" i="6"/>
  <c r="AK71" i="6"/>
  <c r="AK72" i="6"/>
  <c r="AK74" i="6"/>
  <c r="AK75" i="6"/>
  <c r="AK43" i="6"/>
  <c r="AJ44" i="6"/>
  <c r="AJ45" i="6"/>
  <c r="AJ47" i="6"/>
  <c r="AJ48" i="6"/>
  <c r="AJ49" i="6"/>
  <c r="AJ50" i="6"/>
  <c r="AJ51" i="6"/>
  <c r="AJ52" i="6"/>
  <c r="AJ53" i="6"/>
  <c r="AJ55" i="6"/>
  <c r="AJ56" i="6"/>
  <c r="AJ58" i="6"/>
  <c r="AJ60" i="6"/>
  <c r="AJ62" i="6"/>
  <c r="AJ64" i="6"/>
  <c r="AJ65" i="6"/>
  <c r="AJ66" i="6"/>
  <c r="AJ67" i="6"/>
  <c r="AJ68" i="6"/>
  <c r="AJ69" i="6"/>
  <c r="AJ70" i="6"/>
  <c r="AJ71" i="6"/>
  <c r="AJ72" i="6"/>
  <c r="AJ74" i="6"/>
  <c r="AJ75" i="6"/>
  <c r="AJ43" i="6"/>
  <c r="AK82" i="6" l="1"/>
  <c r="AJ82" i="6"/>
  <c r="AS16" i="6"/>
  <c r="AS32" i="6" l="1"/>
  <c r="AN44" i="6"/>
  <c r="AO44" i="6"/>
  <c r="AN45" i="6"/>
  <c r="AO45" i="6"/>
  <c r="AN47" i="6"/>
  <c r="AO47" i="6"/>
  <c r="AN48" i="6"/>
  <c r="AO48" i="6"/>
  <c r="AO49" i="6"/>
  <c r="AN50" i="6"/>
  <c r="AO50" i="6"/>
  <c r="AN51" i="6"/>
  <c r="AO51" i="6"/>
  <c r="AN52" i="6"/>
  <c r="AO52" i="6"/>
  <c r="AN53" i="6"/>
  <c r="AO53" i="6"/>
  <c r="AN55" i="6"/>
  <c r="AO55" i="6"/>
  <c r="AN56" i="6"/>
  <c r="AO56" i="6"/>
  <c r="AN58" i="6"/>
  <c r="AO58" i="6"/>
  <c r="AN60" i="6"/>
  <c r="AO60" i="6"/>
  <c r="AN62" i="6"/>
  <c r="AO62" i="6"/>
  <c r="AN64" i="6"/>
  <c r="AO64" i="6"/>
  <c r="AN65" i="6"/>
  <c r="AO65" i="6"/>
  <c r="AN66" i="6"/>
  <c r="AO66" i="6"/>
  <c r="AN67" i="6"/>
  <c r="AO67" i="6"/>
  <c r="AN68" i="6"/>
  <c r="AO68" i="6"/>
  <c r="AN69" i="6"/>
  <c r="AO69" i="6"/>
  <c r="AN70" i="6"/>
  <c r="AO70" i="6"/>
  <c r="AN71" i="6"/>
  <c r="AO71" i="6"/>
  <c r="AN72" i="6"/>
  <c r="AO72" i="6"/>
  <c r="AN74" i="6"/>
  <c r="AO74" i="6"/>
  <c r="AN75" i="6"/>
  <c r="AO75" i="6"/>
  <c r="AR50" i="6"/>
  <c r="AR70" i="6"/>
  <c r="AR71" i="6"/>
  <c r="AR72" i="6"/>
  <c r="AR74" i="6"/>
  <c r="AR75" i="6"/>
  <c r="AR58" i="6"/>
  <c r="AR44" i="6"/>
  <c r="AR45" i="6"/>
  <c r="AR47" i="6"/>
  <c r="AR48" i="6"/>
  <c r="AR49" i="6"/>
  <c r="AR51" i="6"/>
  <c r="AR52" i="6"/>
  <c r="AR53" i="6"/>
  <c r="AR55" i="6"/>
  <c r="AR56" i="6"/>
  <c r="AR60" i="6"/>
  <c r="AR62" i="6"/>
  <c r="AR64" i="6"/>
  <c r="AR65" i="6"/>
  <c r="AR66" i="6"/>
  <c r="AR67" i="6"/>
  <c r="AR68" i="6"/>
  <c r="AR69" i="6"/>
  <c r="AR43" i="6"/>
  <c r="AO43" i="6"/>
  <c r="AN43" i="6"/>
  <c r="AR82" i="6" l="1"/>
  <c r="AN82" i="6"/>
  <c r="AO82" i="6"/>
  <c r="Y64" i="6"/>
  <c r="AX64" i="6" s="1"/>
  <c r="Y71" i="6"/>
  <c r="AX71" i="6" s="1"/>
  <c r="Y49" i="6"/>
  <c r="AX49" i="6" s="1"/>
  <c r="AC44" i="6"/>
  <c r="AC45" i="6"/>
  <c r="I43" i="6"/>
  <c r="I82" i="6" s="1"/>
  <c r="AS4" i="6"/>
  <c r="AS3" i="6"/>
  <c r="Y51" i="6" l="1"/>
  <c r="AX51" i="6" s="1"/>
  <c r="Y55" i="6"/>
  <c r="AX55" i="6" s="1"/>
  <c r="Y69" i="6"/>
  <c r="AX69" i="6" s="1"/>
  <c r="Y50" i="6"/>
  <c r="AX50" i="6" s="1"/>
  <c r="Y44" i="6"/>
  <c r="AX44" i="6" s="1"/>
  <c r="Y48" i="6"/>
  <c r="AX48" i="6" s="1"/>
  <c r="Y66" i="6"/>
  <c r="AX66" i="6" s="1"/>
  <c r="Y45" i="6"/>
  <c r="AX45" i="6" s="1"/>
  <c r="Y47" i="6"/>
  <c r="AX47" i="6" s="1"/>
  <c r="Y72" i="6"/>
  <c r="AX72" i="6" s="1"/>
  <c r="Y60" i="6"/>
  <c r="AX60" i="6" s="1"/>
  <c r="Y65" i="6"/>
  <c r="AX65" i="6" s="1"/>
  <c r="Y74" i="6"/>
  <c r="AX74" i="6" s="1"/>
  <c r="Y70" i="6"/>
  <c r="AX70" i="6" s="1"/>
  <c r="Y68" i="6"/>
  <c r="AX68" i="6" s="1"/>
  <c r="Y56" i="6"/>
  <c r="AX56" i="6" s="1"/>
  <c r="Y67" i="6"/>
  <c r="AX67" i="6" s="1"/>
  <c r="Y75" i="6"/>
  <c r="AX75" i="6" s="1"/>
  <c r="Y62" i="6"/>
  <c r="AX62" i="6" s="1"/>
  <c r="Y53" i="6"/>
  <c r="AX53" i="6" s="1"/>
  <c r="Y58" i="6"/>
  <c r="AX58" i="6" s="1"/>
  <c r="Y52" i="6"/>
  <c r="AX52" i="6" s="1"/>
  <c r="J43" i="6"/>
  <c r="J82" i="6" s="1"/>
  <c r="K43" i="6" l="1"/>
  <c r="K82" i="6" s="1"/>
  <c r="L43" i="6"/>
  <c r="L82" i="6" s="1"/>
  <c r="W43" i="6" l="1"/>
  <c r="W82" i="6" s="1"/>
  <c r="S43" i="6"/>
  <c r="S82" i="6" s="1"/>
  <c r="U43" i="6"/>
  <c r="U82" i="6" s="1"/>
  <c r="AF43" i="6"/>
  <c r="AF82" i="6" s="1"/>
  <c r="AC43" i="6"/>
  <c r="AC82" i="6" s="1"/>
  <c r="V43" i="6"/>
  <c r="V82" i="6" s="1"/>
  <c r="T43" i="6"/>
  <c r="T82" i="6" s="1"/>
  <c r="X43" i="6" l="1"/>
  <c r="X82" i="6" s="1"/>
  <c r="Y43" i="6" l="1"/>
  <c r="Y82" i="6" s="1"/>
  <c r="AX43" i="6" l="1"/>
  <c r="AX82" i="6" s="1"/>
</calcChain>
</file>

<file path=xl/sharedStrings.xml><?xml version="1.0" encoding="utf-8"?>
<sst xmlns="http://schemas.openxmlformats.org/spreadsheetml/2006/main" count="596" uniqueCount="292">
  <si>
    <t>1-4</t>
  </si>
  <si>
    <t>5-9</t>
  </si>
  <si>
    <t>10-11</t>
  </si>
  <si>
    <t>№  п/п</t>
  </si>
  <si>
    <t>Ф.И.О</t>
  </si>
  <si>
    <t>Категория</t>
  </si>
  <si>
    <t>Коэффициент</t>
  </si>
  <si>
    <t>Дополнительная оплата</t>
  </si>
  <si>
    <t>ИТОГО:</t>
  </si>
  <si>
    <t>Должностной оклад (17697* коэф)</t>
  </si>
  <si>
    <t>высшее</t>
  </si>
  <si>
    <t>1-4 классы</t>
  </si>
  <si>
    <t>5-9 классы</t>
  </si>
  <si>
    <t>Прочие надбавки</t>
  </si>
  <si>
    <t>Педагогический стаж</t>
  </si>
  <si>
    <t>Всего заработная плата в месяц</t>
  </si>
  <si>
    <t>Занимаемая должность преподаваемого  предмета</t>
  </si>
  <si>
    <t xml:space="preserve">Образование </t>
  </si>
  <si>
    <t>заведующий мастерской</t>
  </si>
  <si>
    <t>физкультура</t>
  </si>
  <si>
    <t>первая</t>
  </si>
  <si>
    <t>без категории</t>
  </si>
  <si>
    <t>история</t>
  </si>
  <si>
    <t>категория</t>
  </si>
  <si>
    <t>В2-2</t>
  </si>
  <si>
    <t>В2-3</t>
  </si>
  <si>
    <t>В2-4</t>
  </si>
  <si>
    <t>НВП</t>
  </si>
  <si>
    <t xml:space="preserve">Заработная плата </t>
  </si>
  <si>
    <t>Доплаты за ОСО</t>
  </si>
  <si>
    <t>Доплаты за квалтест</t>
  </si>
  <si>
    <t>Доплаты полиязычие</t>
  </si>
  <si>
    <t>количество часов ОСО</t>
  </si>
  <si>
    <t>сумма доплаты ОСО</t>
  </si>
  <si>
    <t>%</t>
  </si>
  <si>
    <t>сумма доплаты квалтест</t>
  </si>
  <si>
    <t>Доплаты за обучение на дому</t>
  </si>
  <si>
    <t>количество часов инклюзив</t>
  </si>
  <si>
    <t>сумма доплаты инклюзив</t>
  </si>
  <si>
    <t>В4-3</t>
  </si>
  <si>
    <t>25% сельские</t>
  </si>
  <si>
    <t xml:space="preserve">Общее количество часов </t>
  </si>
  <si>
    <t>классное  руководство          50%               60%</t>
  </si>
  <si>
    <t>за степень магистра</t>
  </si>
  <si>
    <t>№ п/п</t>
  </si>
  <si>
    <t>Показатели на начало учебного года</t>
  </si>
  <si>
    <t>ВСЕГО</t>
  </si>
  <si>
    <t>Общее число препод. работы в неделю по тарификации в т.ч.</t>
  </si>
  <si>
    <t>оплачено из бюджета</t>
  </si>
  <si>
    <t>а)</t>
  </si>
  <si>
    <t>число часов по уч. плану</t>
  </si>
  <si>
    <t>б)</t>
  </si>
  <si>
    <t>число дополнительных часов</t>
  </si>
  <si>
    <t>казахский  язык</t>
  </si>
  <si>
    <t>казахская  литература</t>
  </si>
  <si>
    <t xml:space="preserve">Т А Р И Ф И К А Ц И О Н Н Ы Й     С П И С О К </t>
  </si>
  <si>
    <t>хореография</t>
  </si>
  <si>
    <t>учителей и других работников</t>
  </si>
  <si>
    <t>инфоматика</t>
  </si>
  <si>
    <t>иностранный  язык</t>
  </si>
  <si>
    <t>русский яз и литература</t>
  </si>
  <si>
    <t>физическая культура</t>
  </si>
  <si>
    <t>основы экономических  знаний</t>
  </si>
  <si>
    <t>профиль</t>
  </si>
  <si>
    <t>прикл.курсы</t>
  </si>
  <si>
    <t>кол-во класс комплектов:</t>
  </si>
  <si>
    <t xml:space="preserve">обучение  на  дому  </t>
  </si>
  <si>
    <t>кол-во детей:</t>
  </si>
  <si>
    <t>основы  малого  бизнеса</t>
  </si>
  <si>
    <t>прочие, кружки</t>
  </si>
  <si>
    <t>спорт</t>
  </si>
  <si>
    <t>туризм</t>
  </si>
  <si>
    <t>физика</t>
  </si>
  <si>
    <t>количество часов</t>
  </si>
  <si>
    <t>Общее количество часов языки</t>
  </si>
  <si>
    <t>классное  руководство 5-11</t>
  </si>
  <si>
    <t>классное  руководство 1-4</t>
  </si>
  <si>
    <t>Хусаинова Гульнар Алтабаевна</t>
  </si>
  <si>
    <t>химия</t>
  </si>
  <si>
    <t>высш</t>
  </si>
  <si>
    <t>Борщ Лена Васильевна</t>
  </si>
  <si>
    <t>Аманжолова Манзирка Кукуновна</t>
  </si>
  <si>
    <t xml:space="preserve">математика  </t>
  </si>
  <si>
    <t>Утепбергенова Гульнар Каниевна</t>
  </si>
  <si>
    <t>Мукишова Гульжан Мирашовна</t>
  </si>
  <si>
    <t>Смаилова Сауле Айтановна</t>
  </si>
  <si>
    <t>Ахай Саягуль</t>
  </si>
  <si>
    <t>каз язык лит</t>
  </si>
  <si>
    <t>Карымсакова Гульмира Маговиевна</t>
  </si>
  <si>
    <t xml:space="preserve">Буранбаева Жанаркуль Жумахметовна             </t>
  </si>
  <si>
    <t>Мухамедшарипов Казбек Серикович</t>
  </si>
  <si>
    <t xml:space="preserve">анг </t>
  </si>
  <si>
    <t>Ниязова Майра Сапаралиевна</t>
  </si>
  <si>
    <t>выс ш</t>
  </si>
  <si>
    <t>Шухитова Айнур Омаровна</t>
  </si>
  <si>
    <t xml:space="preserve">Кунтаева Гульдана Сериковна            </t>
  </si>
  <si>
    <t xml:space="preserve">  рус.язык лит</t>
  </si>
  <si>
    <t>музыка</t>
  </si>
  <si>
    <t>Төрехан Мадина Бауыржанқызы</t>
  </si>
  <si>
    <t>выс</t>
  </si>
  <si>
    <t>ср.сп</t>
  </si>
  <si>
    <t>Кожахметова Саулеш Акбузауовна</t>
  </si>
  <si>
    <t>ср сп</t>
  </si>
  <si>
    <t>педагог-модератор</t>
  </si>
  <si>
    <t>педагог-эксперт</t>
  </si>
  <si>
    <t>п-эксперт</t>
  </si>
  <si>
    <t>п-иследователь</t>
  </si>
  <si>
    <t xml:space="preserve"> п-эксперт</t>
  </si>
  <si>
    <t>Батыров Жақсылық Батырұлы</t>
  </si>
  <si>
    <t xml:space="preserve">     , рус.яз лит-ра</t>
  </si>
  <si>
    <t>п-модератор</t>
  </si>
  <si>
    <t>обуч на дому 1-4</t>
  </si>
  <si>
    <t>обуч на дому 5-9</t>
  </si>
  <si>
    <t>Обуч на дому 1-4</t>
  </si>
  <si>
    <t>Обуч на дому 5-9</t>
  </si>
  <si>
    <t>Жиынтығы:</t>
  </si>
  <si>
    <t>орта</t>
  </si>
  <si>
    <t>D</t>
  </si>
  <si>
    <t>жоғарғы</t>
  </si>
  <si>
    <t>іс жүргізуші</t>
  </si>
  <si>
    <t>психолог</t>
  </si>
  <si>
    <t>Буранбаева Жанаркул Жумахметовна</t>
  </si>
  <si>
    <t>вожатый</t>
  </si>
  <si>
    <t>А1-3-1</t>
  </si>
  <si>
    <t>зам по ВР</t>
  </si>
  <si>
    <t>зам по УВР</t>
  </si>
  <si>
    <t>А1-3</t>
  </si>
  <si>
    <t>мектеп директоры</t>
  </si>
  <si>
    <t>Сомасы</t>
  </si>
  <si>
    <t>төлеуге жататын сағат саны</t>
  </si>
  <si>
    <t>кун саны</t>
  </si>
  <si>
    <t>сомасы</t>
  </si>
  <si>
    <t>бірлік</t>
  </si>
  <si>
    <t>пайыз</t>
  </si>
  <si>
    <t>Қосымша төлемдердің жиынтық сомасы</t>
  </si>
  <si>
    <t>Ерекше еңбек жағдайлары үшін үстемеақы 10%</t>
  </si>
  <si>
    <t>түнгі жұмыс үшін</t>
  </si>
  <si>
    <t>Мереке кундері үшін</t>
  </si>
  <si>
    <t>Сыныптық біліктілігі үшін</t>
  </si>
  <si>
    <t>Оқулықтардың кiтапханалық қорымен жұмыс істегенi үшін</t>
  </si>
  <si>
    <t>квалтес</t>
  </si>
  <si>
    <t>санаты бойынша</t>
  </si>
  <si>
    <t>Кәсіптік, біліктілік санаты, разряды</t>
  </si>
  <si>
    <t>Айлық еңбек ақы, барлығы</t>
  </si>
  <si>
    <t>ҚОСЫМША АҚЫЛАР МЕН ҮСТЕМЕАҚЫЛАР</t>
  </si>
  <si>
    <t>25% қоса есептелгендегі еңбек ақы жиынтығы</t>
  </si>
  <si>
    <t>Ауылдық жердегі жұмысы үшін арттыру</t>
  </si>
  <si>
    <t>Қызметтік айлықақы</t>
  </si>
  <si>
    <t>штаттық бірлік</t>
  </si>
  <si>
    <t>жалақы есептеу коэффициенті</t>
  </si>
  <si>
    <t>мамандығы бойынша еңбек өтілі</t>
  </si>
  <si>
    <t>санаты</t>
  </si>
  <si>
    <t>білімі</t>
  </si>
  <si>
    <t>Лауазым атауы</t>
  </si>
  <si>
    <t>Тегі, аты, әкесінің аты</t>
  </si>
  <si>
    <t xml:space="preserve">№№ </t>
  </si>
  <si>
    <t>БЛЖ</t>
  </si>
  <si>
    <t xml:space="preserve">       Штатное расписание</t>
  </si>
  <si>
    <t xml:space="preserve">____________ </t>
  </si>
  <si>
    <t xml:space="preserve"> </t>
  </si>
  <si>
    <t>Утверждаю</t>
  </si>
  <si>
    <t xml:space="preserve">  "СОГЛАСОВАНО"</t>
  </si>
  <si>
    <t>Аскерхан Зауреш</t>
  </si>
  <si>
    <t>рабочий</t>
  </si>
  <si>
    <t>Новый Должностной оклад 75%</t>
  </si>
  <si>
    <t>водитель</t>
  </si>
  <si>
    <t>Физкультура</t>
  </si>
  <si>
    <t>б/к</t>
  </si>
  <si>
    <t>педагог модератов</t>
  </si>
  <si>
    <t>худ.труд</t>
  </si>
  <si>
    <t xml:space="preserve">информатика </t>
  </si>
  <si>
    <t xml:space="preserve">технология, </t>
  </si>
  <si>
    <t>Сабиева Асель Ашукеновна</t>
  </si>
  <si>
    <t>Сапарбаева Калдыкул Саденовна</t>
  </si>
  <si>
    <t>Нагаев Айдархан Рахметтулович</t>
  </si>
  <si>
    <t>вакансия</t>
  </si>
  <si>
    <t>Бабанова Жанар Маратовна</t>
  </si>
  <si>
    <t>Тубетова Рысжан Султановна</t>
  </si>
  <si>
    <t>100 % увеличения ДО</t>
  </si>
  <si>
    <t>Бакетаева Жанна Жаксылыковна</t>
  </si>
  <si>
    <t>Сапарбай Акмарал Абиқызы</t>
  </si>
  <si>
    <t>педагог</t>
  </si>
  <si>
    <t>Кенжегалиева Акшархат Адильхановна</t>
  </si>
  <si>
    <t>Жабайханова Карина Аскаровна</t>
  </si>
  <si>
    <t>1 а класс</t>
  </si>
  <si>
    <t>В 2-4</t>
  </si>
  <si>
    <t>В 4-4</t>
  </si>
  <si>
    <t>Смаль Жайнагул</t>
  </si>
  <si>
    <t>педагог модератор</t>
  </si>
  <si>
    <t>наставничество</t>
  </si>
  <si>
    <t>зам.директора по хоз.части</t>
  </si>
  <si>
    <t>Мырзағұл Нұрсұлтан Женісұлы</t>
  </si>
  <si>
    <t>плотник</t>
  </si>
  <si>
    <t>Умиржанова Сакып</t>
  </si>
  <si>
    <t>Доман Гүлгайым</t>
  </si>
  <si>
    <t>Шакенова Камшат Амантаевна</t>
  </si>
  <si>
    <t>Ысқақ Нурилаш</t>
  </si>
  <si>
    <t>техничка</t>
  </si>
  <si>
    <t xml:space="preserve"> Руководитель ГУ «Отдел образования по Аршалынскому району управления образования Акмолинской области»</t>
  </si>
  <si>
    <t>Ж.Кайрмденов</t>
  </si>
  <si>
    <t>Абикеев Хасенбай Ануарбекович</t>
  </si>
  <si>
    <t>секретарь</t>
  </si>
  <si>
    <t>кочегар</t>
  </si>
  <si>
    <t>Ибикеева Гулсум</t>
  </si>
  <si>
    <t>до года</t>
  </si>
  <si>
    <t>A2-3</t>
  </si>
  <si>
    <t>гардеробщик</t>
  </si>
  <si>
    <t>10-11 классы</t>
  </si>
  <si>
    <t>1-11 классы</t>
  </si>
  <si>
    <t>в 2-4</t>
  </si>
  <si>
    <t>кол-во кл.компл:  21</t>
  </si>
  <si>
    <t xml:space="preserve">военрук </t>
  </si>
  <si>
    <t xml:space="preserve">Мектеп директоры:  </t>
  </si>
  <si>
    <t>Гл.     Экономист</t>
  </si>
  <si>
    <t xml:space="preserve">          Акылбаев Б</t>
  </si>
  <si>
    <t>Отдель кадр</t>
  </si>
  <si>
    <t xml:space="preserve">          Альмагамбетова М.С.</t>
  </si>
  <si>
    <t xml:space="preserve"> Жанабергенова А.К.</t>
  </si>
  <si>
    <t>Адрес школы: Акмолинская область,Аршалынский район, а.Жалтырколь, ул.А.Бокейханова 5</t>
  </si>
  <si>
    <t>Р.Газиз</t>
  </si>
  <si>
    <t>Число классов на 1 сентября</t>
  </si>
  <si>
    <t>Число кл-комлектов на 1 сентября</t>
  </si>
  <si>
    <t>Число учащихся на 1 сентября</t>
  </si>
  <si>
    <t>Газиз Роза</t>
  </si>
  <si>
    <t>қазақ тілі/ әдеб</t>
  </si>
  <si>
    <t>4Ә класс</t>
  </si>
  <si>
    <t>3 А класс</t>
  </si>
  <si>
    <t>Лошак Александер Николаевич</t>
  </si>
  <si>
    <t xml:space="preserve"> ист общ геогра</t>
  </si>
  <si>
    <t>Закарин Бауыржан Ибнияевич (совместитель)</t>
  </si>
  <si>
    <t>худ.руд</t>
  </si>
  <si>
    <t>Испаева Жанат Нурбахитовна (совместитель)</t>
  </si>
  <si>
    <t>Накупов Абай Сайлаубекович</t>
  </si>
  <si>
    <t xml:space="preserve">3 ә класс, </t>
  </si>
  <si>
    <t xml:space="preserve">2Әкласс </t>
  </si>
  <si>
    <t>4 А класс</t>
  </si>
  <si>
    <t>2 а класс</t>
  </si>
  <si>
    <t xml:space="preserve">1 Ә класс </t>
  </si>
  <si>
    <t>2-3Ә рус.яз</t>
  </si>
  <si>
    <t>Мылтықбай Асылзат Ғалымжанқызы</t>
  </si>
  <si>
    <t xml:space="preserve">Оңғар Гаухар </t>
  </si>
  <si>
    <t>рус.яз/лит</t>
  </si>
  <si>
    <t>Сыздыкова Айткуль Сейткереевна (совместитель)</t>
  </si>
  <si>
    <t xml:space="preserve">Газиз Роза </t>
  </si>
  <si>
    <t>соц,педагог</t>
  </si>
  <si>
    <t>Алихан Ельжан</t>
  </si>
  <si>
    <t>Сарсенбин Талгат Тулигенович</t>
  </si>
  <si>
    <t>дворник</t>
  </si>
  <si>
    <t>электрик</t>
  </si>
  <si>
    <t>В2-1</t>
  </si>
  <si>
    <t xml:space="preserve">   Экономист</t>
  </si>
  <si>
    <t>бухгалтер</t>
  </si>
  <si>
    <t>Гл.бухгалтер</t>
  </si>
  <si>
    <t>Рау Н.В.</t>
  </si>
  <si>
    <t>ст. бухгалтер</t>
  </si>
  <si>
    <t>Баймулдина Г.Б.</t>
  </si>
  <si>
    <t>Зав.РМК</t>
  </si>
  <si>
    <t>Таласпаева З.М.</t>
  </si>
  <si>
    <t>Акылбаев Б</t>
  </si>
  <si>
    <t>Газиз Р.</t>
  </si>
  <si>
    <t>ИО директора КГУ "Общеобразовательная школа села Жатырколь отдела образования по Аршалынскому району управления области Акмолинской области"</t>
  </si>
  <si>
    <t xml:space="preserve">                                                    КГУ "Общеобразовательная школа села Жалтырколь отдела образования по Аршалынскому району управления образования Акмолинской области" </t>
  </si>
  <si>
    <t>"    01" 01.  2025г</t>
  </si>
  <si>
    <t>"   01 " 01.2025 год</t>
  </si>
  <si>
    <t>НА 01.01.2024-2025 УЧЕБНЫЙ ГОД</t>
  </si>
  <si>
    <t>Абдуалиева Лайла Койшыбековна</t>
  </si>
  <si>
    <t xml:space="preserve">В2-2 </t>
  </si>
  <si>
    <t xml:space="preserve">        </t>
  </si>
  <si>
    <t>Конарбае6ва Даметкен Омирзаковна</t>
  </si>
  <si>
    <t>Қаратаева Әлия Мұрадиновна</t>
  </si>
  <si>
    <t>Абил Есбол</t>
  </si>
  <si>
    <t>Байеділ Диана Женісқызы</t>
  </si>
  <si>
    <t>Бекжанов Нурбол Капанович</t>
  </si>
  <si>
    <t>НВТП, физ-ра</t>
  </si>
  <si>
    <t>педагого</t>
  </si>
  <si>
    <t>"   01 "__01.2025 год</t>
  </si>
  <si>
    <t>"  01" _01. 2025г</t>
  </si>
  <si>
    <t>" 01"_01.2025 год</t>
  </si>
  <si>
    <t>зав.библиотекой</t>
  </si>
  <si>
    <t>Оспанова Гулжан Нуртайқызы</t>
  </si>
  <si>
    <t>Ибикеев Куандык Орынбекович</t>
  </si>
  <si>
    <t>Едіге Жанарыс Едігеұлы</t>
  </si>
  <si>
    <t>Айтбаев Бекджау Даниярович</t>
  </si>
  <si>
    <t>Шухитов Жанай Тажибаевич</t>
  </si>
  <si>
    <t>Кульбаев Ернур Орынбекович</t>
  </si>
  <si>
    <t>Жаманбаева Бахыт Махметовна</t>
  </si>
  <si>
    <t>Акимгалиев Дармен Рахметович</t>
  </si>
  <si>
    <t>100% көтерме ақы</t>
  </si>
  <si>
    <t>Стим надбавка водитель</t>
  </si>
  <si>
    <t>С-2</t>
  </si>
  <si>
    <t>Карымсакова Гульмира Магавиевна</t>
  </si>
  <si>
    <t>физ-ра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</si>
</sst>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#,##0.0_ ;\-#,##0.0\ "/>
  </numFmts>
  <fonts count="5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28"/>
      <name val="Arial Cyr"/>
      <family val="2"/>
      <charset val="204"/>
    </font>
    <font>
      <sz val="2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22.5"/>
      <name val="Times New Roman"/>
      <family val="1"/>
      <charset val="204"/>
    </font>
    <font>
      <b/>
      <sz val="22.5"/>
      <name val="Times New Roman"/>
      <family val="1"/>
      <charset val="204"/>
    </font>
    <font>
      <sz val="22.5"/>
      <color indexed="22"/>
      <name val="Times New Roman"/>
      <family val="1"/>
      <charset val="204"/>
    </font>
    <font>
      <sz val="22.5"/>
      <name val="Arial Cyr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Arial Cyr"/>
      <charset val="204"/>
    </font>
    <font>
      <sz val="9"/>
      <name val="Arial Cyr"/>
      <family val="2"/>
      <charset val="204"/>
    </font>
    <font>
      <sz val="2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 tint="4.9989318521683403E-2"/>
      <name val="Arial Cyr"/>
      <charset val="204"/>
    </font>
    <font>
      <sz val="12"/>
      <color indexed="8"/>
      <name val="Arial Cyr"/>
      <charset val="204"/>
    </font>
    <font>
      <b/>
      <sz val="2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1" fillId="0" borderId="0"/>
    <xf numFmtId="0" fontId="46" fillId="0" borderId="0"/>
    <xf numFmtId="164" fontId="1" fillId="0" borderId="0" applyFill="0" applyBorder="0" applyAlignment="0" applyProtection="0"/>
  </cellStyleXfs>
  <cellXfs count="360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" fontId="23" fillId="0" borderId="0" xfId="0" applyNumberFormat="1" applyFon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" fontId="23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5" fillId="0" borderId="0" xfId="0" applyFont="1"/>
    <xf numFmtId="0" fontId="21" fillId="0" borderId="0" xfId="0" applyFont="1" applyAlignment="1">
      <alignment vertical="center"/>
    </xf>
    <xf numFmtId="0" fontId="21" fillId="15" borderId="0" xfId="0" applyFont="1" applyFill="1" applyAlignment="1">
      <alignment vertical="center"/>
    </xf>
    <xf numFmtId="10" fontId="25" fillId="0" borderId="0" xfId="0" applyNumberFormat="1" applyFont="1"/>
    <xf numFmtId="0" fontId="18" fillId="16" borderId="0" xfId="0" applyFont="1" applyFill="1"/>
    <xf numFmtId="0" fontId="23" fillId="16" borderId="0" xfId="0" applyFont="1" applyFill="1"/>
    <xf numFmtId="0" fontId="23" fillId="16" borderId="0" xfId="0" applyFont="1" applyFill="1" applyAlignment="1">
      <alignment horizontal="left"/>
    </xf>
    <xf numFmtId="0" fontId="21" fillId="16" borderId="0" xfId="0" applyFont="1" applyFill="1" applyAlignment="1">
      <alignment vertical="center"/>
    </xf>
    <xf numFmtId="0" fontId="28" fillId="16" borderId="10" xfId="0" applyFont="1" applyFill="1" applyBorder="1" applyAlignment="1">
      <alignment vertical="center" wrapText="1"/>
    </xf>
    <xf numFmtId="0" fontId="28" fillId="16" borderId="10" xfId="0" applyFont="1" applyFill="1" applyBorder="1" applyAlignment="1">
      <alignment horizontal="right" vertical="center"/>
    </xf>
    <xf numFmtId="0" fontId="28" fillId="16" borderId="10" xfId="0" applyFont="1" applyFill="1" applyBorder="1" applyAlignment="1">
      <alignment vertical="center"/>
    </xf>
    <xf numFmtId="166" fontId="28" fillId="0" borderId="10" xfId="23" applyNumberFormat="1" applyFont="1" applyFill="1" applyBorder="1" applyAlignment="1">
      <alignment vertical="center"/>
    </xf>
    <xf numFmtId="166" fontId="27" fillId="0" borderId="10" xfId="23" applyNumberFormat="1" applyFont="1" applyFill="1" applyBorder="1" applyAlignment="1">
      <alignment vertical="center"/>
    </xf>
    <xf numFmtId="166" fontId="28" fillId="16" borderId="10" xfId="23" applyNumberFormat="1" applyFont="1" applyFill="1" applyBorder="1" applyAlignment="1">
      <alignment vertical="center"/>
    </xf>
    <xf numFmtId="0" fontId="25" fillId="16" borderId="10" xfId="0" applyFont="1" applyFill="1" applyBorder="1" applyAlignment="1">
      <alignment horizontal="center" vertical="center" wrapText="1"/>
    </xf>
    <xf numFmtId="166" fontId="28" fillId="16" borderId="10" xfId="23" applyNumberFormat="1" applyFont="1" applyFill="1" applyBorder="1" applyAlignment="1">
      <alignment vertical="center" wrapText="1"/>
    </xf>
    <xf numFmtId="0" fontId="27" fillId="16" borderId="10" xfId="0" applyFont="1" applyFill="1" applyBorder="1" applyAlignment="1">
      <alignment horizontal="center" vertical="center" textRotation="90"/>
    </xf>
    <xf numFmtId="9" fontId="25" fillId="16" borderId="11" xfId="0" applyNumberFormat="1" applyFont="1" applyFill="1" applyBorder="1" applyAlignment="1">
      <alignment horizontal="center" vertical="center" textRotation="90"/>
    </xf>
    <xf numFmtId="166" fontId="25" fillId="0" borderId="0" xfId="0" applyNumberFormat="1" applyFont="1"/>
    <xf numFmtId="0" fontId="29" fillId="0" borderId="0" xfId="0" applyFont="1" applyProtection="1">
      <protection locked="0"/>
    </xf>
    <xf numFmtId="1" fontId="30" fillId="0" borderId="0" xfId="0" applyNumberFormat="1" applyFont="1" applyAlignment="1" applyProtection="1">
      <alignment horizontal="center"/>
      <protection locked="0"/>
    </xf>
    <xf numFmtId="0" fontId="31" fillId="0" borderId="0" xfId="0" applyFont="1"/>
    <xf numFmtId="0" fontId="32" fillId="0" borderId="0" xfId="0" applyFont="1" applyProtection="1">
      <protection locked="0"/>
    </xf>
    <xf numFmtId="1" fontId="32" fillId="0" borderId="0" xfId="0" applyNumberFormat="1" applyFont="1" applyProtection="1">
      <protection locked="0"/>
    </xf>
    <xf numFmtId="1" fontId="29" fillId="0" borderId="0" xfId="0" applyNumberFormat="1" applyFont="1" applyProtection="1">
      <protection locked="0"/>
    </xf>
    <xf numFmtId="1" fontId="34" fillId="16" borderId="0" xfId="0" applyNumberFormat="1" applyFont="1" applyFill="1" applyProtection="1">
      <protection locked="0"/>
    </xf>
    <xf numFmtId="1" fontId="30" fillId="16" borderId="16" xfId="0" applyNumberFormat="1" applyFont="1" applyFill="1" applyBorder="1" applyProtection="1">
      <protection locked="0"/>
    </xf>
    <xf numFmtId="1" fontId="30" fillId="16" borderId="17" xfId="0" applyNumberFormat="1" applyFont="1" applyFill="1" applyBorder="1" applyProtection="1">
      <protection locked="0"/>
    </xf>
    <xf numFmtId="49" fontId="30" fillId="16" borderId="18" xfId="0" applyNumberFormat="1" applyFont="1" applyFill="1" applyBorder="1" applyAlignment="1" applyProtection="1">
      <alignment horizontal="center"/>
      <protection locked="0"/>
    </xf>
    <xf numFmtId="1" fontId="29" fillId="16" borderId="10" xfId="0" applyNumberFormat="1" applyFont="1" applyFill="1" applyBorder="1" applyAlignment="1" applyProtection="1">
      <alignment horizontal="center"/>
      <protection locked="0"/>
    </xf>
    <xf numFmtId="0" fontId="29" fillId="16" borderId="22" xfId="0" applyFont="1" applyFill="1" applyBorder="1" applyAlignment="1" applyProtection="1">
      <alignment horizontal="center"/>
      <protection locked="0"/>
    </xf>
    <xf numFmtId="0" fontId="29" fillId="16" borderId="25" xfId="0" applyFont="1" applyFill="1" applyBorder="1" applyAlignment="1" applyProtection="1">
      <alignment horizontal="center"/>
      <protection locked="0"/>
    </xf>
    <xf numFmtId="0" fontId="29" fillId="16" borderId="27" xfId="0" applyFont="1" applyFill="1" applyBorder="1" applyAlignment="1" applyProtection="1">
      <alignment horizontal="center"/>
      <protection locked="0"/>
    </xf>
    <xf numFmtId="1" fontId="29" fillId="16" borderId="10" xfId="0" applyNumberFormat="1" applyFont="1" applyFill="1" applyBorder="1" applyProtection="1">
      <protection locked="0"/>
    </xf>
    <xf numFmtId="1" fontId="34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1" fontId="3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40" fillId="16" borderId="10" xfId="0" applyFont="1" applyFill="1" applyBorder="1" applyAlignment="1">
      <alignment horizontal="right" vertical="center" wrapText="1"/>
    </xf>
    <xf numFmtId="0" fontId="27" fillId="16" borderId="10" xfId="0" applyFont="1" applyFill="1" applyBorder="1" applyAlignment="1">
      <alignment horizontal="center" vertical="center" textRotation="90" wrapText="1"/>
    </xf>
    <xf numFmtId="0" fontId="28" fillId="0" borderId="10" xfId="0" applyFont="1" applyBorder="1" applyAlignment="1">
      <alignment wrapText="1"/>
    </xf>
    <xf numFmtId="0" fontId="28" fillId="16" borderId="10" xfId="0" applyFont="1" applyFill="1" applyBorder="1" applyAlignment="1">
      <alignment wrapText="1"/>
    </xf>
    <xf numFmtId="0" fontId="39" fillId="16" borderId="10" xfId="0" applyFont="1" applyFill="1" applyBorder="1" applyAlignment="1">
      <alignment horizontal="center" wrapText="1"/>
    </xf>
    <xf numFmtId="2" fontId="39" fillId="16" borderId="10" xfId="0" applyNumberFormat="1" applyFont="1" applyFill="1" applyBorder="1" applyAlignment="1">
      <alignment horizontal="center" wrapText="1"/>
    </xf>
    <xf numFmtId="0" fontId="39" fillId="16" borderId="10" xfId="25" applyFont="1" applyFill="1" applyBorder="1" applyAlignment="1">
      <alignment horizontal="center" wrapText="1"/>
    </xf>
    <xf numFmtId="0" fontId="45" fillId="16" borderId="10" xfId="0" applyFont="1" applyFill="1" applyBorder="1" applyAlignment="1">
      <alignment horizontal="center"/>
    </xf>
    <xf numFmtId="167" fontId="28" fillId="16" borderId="10" xfId="23" applyNumberFormat="1" applyFont="1" applyFill="1" applyBorder="1" applyAlignment="1">
      <alignment vertical="center" wrapText="1"/>
    </xf>
    <xf numFmtId="165" fontId="28" fillId="16" borderId="10" xfId="0" applyNumberFormat="1" applyFont="1" applyFill="1" applyBorder="1" applyAlignment="1">
      <alignment vertical="center"/>
    </xf>
    <xf numFmtId="2" fontId="33" fillId="16" borderId="20" xfId="0" applyNumberFormat="1" applyFont="1" applyFill="1" applyBorder="1" applyProtection="1">
      <protection locked="0"/>
    </xf>
    <xf numFmtId="0" fontId="35" fillId="16" borderId="20" xfId="0" applyFont="1" applyFill="1" applyBorder="1" applyAlignment="1" applyProtection="1">
      <alignment wrapText="1"/>
      <protection locked="0"/>
    </xf>
    <xf numFmtId="0" fontId="42" fillId="16" borderId="20" xfId="0" applyFont="1" applyFill="1" applyBorder="1" applyAlignment="1" applyProtection="1">
      <alignment wrapText="1"/>
      <protection locked="0"/>
    </xf>
    <xf numFmtId="9" fontId="25" fillId="16" borderId="13" xfId="0" applyNumberFormat="1" applyFont="1" applyFill="1" applyBorder="1" applyAlignment="1">
      <alignment wrapText="1"/>
    </xf>
    <xf numFmtId="9" fontId="25" fillId="16" borderId="14" xfId="0" applyNumberFormat="1" applyFont="1" applyFill="1" applyBorder="1" applyAlignment="1">
      <alignment wrapText="1"/>
    </xf>
    <xf numFmtId="0" fontId="47" fillId="0" borderId="0" xfId="27" applyFont="1"/>
    <xf numFmtId="0" fontId="47" fillId="16" borderId="0" xfId="27" applyFont="1" applyFill="1"/>
    <xf numFmtId="0" fontId="28" fillId="0" borderId="0" xfId="27" applyFont="1" applyAlignment="1" applyProtection="1">
      <alignment wrapText="1"/>
      <protection locked="0"/>
    </xf>
    <xf numFmtId="0" fontId="28" fillId="16" borderId="0" xfId="27" applyFont="1" applyFill="1" applyAlignment="1" applyProtection="1">
      <alignment wrapText="1"/>
      <protection locked="0"/>
    </xf>
    <xf numFmtId="0" fontId="28" fillId="0" borderId="0" xfId="27" applyFont="1" applyProtection="1">
      <protection locked="0"/>
    </xf>
    <xf numFmtId="0" fontId="27" fillId="0" borderId="0" xfId="27" applyFont="1" applyProtection="1">
      <protection locked="0"/>
    </xf>
    <xf numFmtId="0" fontId="27" fillId="16" borderId="0" xfId="27" applyFont="1" applyFill="1" applyProtection="1">
      <protection locked="0"/>
    </xf>
    <xf numFmtId="2" fontId="28" fillId="0" borderId="0" xfId="27" applyNumberFormat="1" applyFont="1" applyProtection="1">
      <protection locked="0"/>
    </xf>
    <xf numFmtId="0" fontId="28" fillId="0" borderId="0" xfId="27" applyFont="1" applyAlignment="1">
      <alignment wrapText="1"/>
    </xf>
    <xf numFmtId="0" fontId="28" fillId="16" borderId="0" xfId="27" applyFont="1" applyFill="1" applyAlignment="1">
      <alignment wrapText="1"/>
    </xf>
    <xf numFmtId="2" fontId="28" fillId="0" borderId="10" xfId="27" applyNumberFormat="1" applyFont="1" applyBorder="1" applyAlignment="1">
      <alignment wrapText="1"/>
    </xf>
    <xf numFmtId="0" fontId="28" fillId="16" borderId="10" xfId="27" applyFont="1" applyFill="1" applyBorder="1"/>
    <xf numFmtId="0" fontId="27" fillId="16" borderId="10" xfId="27" applyFont="1" applyFill="1" applyBorder="1" applyAlignment="1">
      <alignment horizontal="left"/>
    </xf>
    <xf numFmtId="2" fontId="28" fillId="16" borderId="10" xfId="27" applyNumberFormat="1" applyFont="1" applyFill="1" applyBorder="1" applyAlignment="1">
      <alignment wrapText="1"/>
    </xf>
    <xf numFmtId="0" fontId="28" fillId="16" borderId="10" xfId="27" applyFont="1" applyFill="1" applyBorder="1" applyAlignment="1">
      <alignment wrapText="1"/>
    </xf>
    <xf numFmtId="0" fontId="48" fillId="16" borderId="10" xfId="27" applyFont="1" applyFill="1" applyBorder="1" applyAlignment="1">
      <alignment wrapText="1"/>
    </xf>
    <xf numFmtId="0" fontId="48" fillId="0" borderId="10" xfId="27" applyFont="1" applyBorder="1" applyAlignment="1">
      <alignment wrapText="1"/>
    </xf>
    <xf numFmtId="0" fontId="28" fillId="16" borderId="10" xfId="27" applyFont="1" applyFill="1" applyBorder="1" applyAlignment="1">
      <alignment horizontal="center" wrapText="1"/>
    </xf>
    <xf numFmtId="0" fontId="28" fillId="0" borderId="10" xfId="27" applyFont="1" applyBorder="1" applyAlignment="1">
      <alignment wrapText="1"/>
    </xf>
    <xf numFmtId="0" fontId="27" fillId="0" borderId="10" xfId="27" applyFont="1" applyBorder="1" applyAlignment="1">
      <alignment wrapText="1"/>
    </xf>
    <xf numFmtId="2" fontId="27" fillId="0" borderId="10" xfId="27" applyNumberFormat="1" applyFont="1" applyBorder="1" applyAlignment="1">
      <alignment horizontal="right" wrapText="1"/>
    </xf>
    <xf numFmtId="0" fontId="28" fillId="0" borderId="10" xfId="27" applyFont="1" applyBorder="1" applyAlignment="1">
      <alignment horizontal="right" wrapText="1"/>
    </xf>
    <xf numFmtId="0" fontId="27" fillId="0" borderId="10" xfId="27" applyFont="1" applyBorder="1" applyAlignment="1">
      <alignment horizontal="right" wrapText="1"/>
    </xf>
    <xf numFmtId="0" fontId="28" fillId="0" borderId="10" xfId="27" applyFont="1" applyBorder="1" applyAlignment="1">
      <alignment horizontal="center" vertical="center" wrapText="1"/>
    </xf>
    <xf numFmtId="0" fontId="49" fillId="0" borderId="0" xfId="27" applyFont="1"/>
    <xf numFmtId="0" fontId="27" fillId="0" borderId="10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10" xfId="27" applyFont="1" applyBorder="1" applyAlignment="1">
      <alignment vertical="center" wrapText="1"/>
    </xf>
    <xf numFmtId="9" fontId="27" fillId="0" borderId="10" xfId="27" applyNumberFormat="1" applyFont="1" applyBorder="1" applyAlignment="1">
      <alignment horizontal="center" vertical="center" wrapText="1"/>
    </xf>
    <xf numFmtId="0" fontId="28" fillId="0" borderId="14" xfId="27" applyFont="1" applyBorder="1" applyAlignment="1">
      <alignment vertical="center" wrapText="1"/>
    </xf>
    <xf numFmtId="0" fontId="28" fillId="0" borderId="15" xfId="27" applyFont="1" applyBorder="1" applyAlignment="1">
      <alignment vertical="center" wrapText="1"/>
    </xf>
    <xf numFmtId="0" fontId="27" fillId="0" borderId="31" xfId="27" applyFont="1" applyBorder="1" applyAlignment="1">
      <alignment horizontal="center" vertical="center" wrapText="1"/>
    </xf>
    <xf numFmtId="0" fontId="28" fillId="0" borderId="35" xfId="27" applyFont="1" applyBorder="1" applyAlignment="1">
      <alignment wrapText="1"/>
    </xf>
    <xf numFmtId="0" fontId="27" fillId="0" borderId="35" xfId="27" applyFont="1" applyBorder="1" applyAlignment="1">
      <alignment horizontal="center" wrapText="1"/>
    </xf>
    <xf numFmtId="0" fontId="27" fillId="16" borderId="0" xfId="27" applyFont="1" applyFill="1" applyAlignment="1">
      <alignment wrapText="1"/>
    </xf>
    <xf numFmtId="0" fontId="27" fillId="0" borderId="0" xfId="27" applyFont="1" applyAlignment="1">
      <alignment wrapText="1"/>
    </xf>
    <xf numFmtId="0" fontId="50" fillId="0" borderId="0" xfId="27" applyFont="1"/>
    <xf numFmtId="0" fontId="26" fillId="0" borderId="0" xfId="27" applyFont="1"/>
    <xf numFmtId="4" fontId="26" fillId="0" borderId="0" xfId="27" applyNumberFormat="1" applyFont="1"/>
    <xf numFmtId="165" fontId="26" fillId="16" borderId="0" xfId="27" applyNumberFormat="1" applyFont="1" applyFill="1"/>
    <xf numFmtId="0" fontId="25" fillId="0" borderId="0" xfId="27" applyFont="1"/>
    <xf numFmtId="0" fontId="25" fillId="16" borderId="0" xfId="27" applyFont="1" applyFill="1"/>
    <xf numFmtId="0" fontId="26" fillId="16" borderId="0" xfId="27" applyFont="1" applyFill="1"/>
    <xf numFmtId="4" fontId="25" fillId="0" borderId="0" xfId="27" applyNumberFormat="1" applyFont="1"/>
    <xf numFmtId="165" fontId="25" fillId="16" borderId="0" xfId="27" applyNumberFormat="1" applyFont="1" applyFill="1"/>
    <xf numFmtId="0" fontId="50" fillId="0" borderId="35" xfId="27" applyFont="1" applyBorder="1"/>
    <xf numFmtId="0" fontId="25" fillId="16" borderId="35" xfId="27" applyFont="1" applyFill="1" applyBorder="1"/>
    <xf numFmtId="0" fontId="28" fillId="16" borderId="10" xfId="0" applyFont="1" applyFill="1" applyBorder="1" applyAlignment="1">
      <alignment horizontal="center" wrapText="1"/>
    </xf>
    <xf numFmtId="2" fontId="28" fillId="16" borderId="10" xfId="0" applyNumberFormat="1" applyFont="1" applyFill="1" applyBorder="1" applyAlignment="1">
      <alignment wrapText="1"/>
    </xf>
    <xf numFmtId="2" fontId="28" fillId="0" borderId="10" xfId="0" applyNumberFormat="1" applyFont="1" applyBorder="1" applyAlignment="1">
      <alignment wrapText="1"/>
    </xf>
    <xf numFmtId="0" fontId="27" fillId="16" borderId="10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0" fontId="48" fillId="0" borderId="10" xfId="27" applyFont="1" applyBorder="1" applyAlignment="1">
      <alignment horizontal="right" wrapText="1"/>
    </xf>
    <xf numFmtId="0" fontId="48" fillId="0" borderId="10" xfId="0" applyFont="1" applyBorder="1" applyAlignment="1">
      <alignment horizontal="right" wrapText="1"/>
    </xf>
    <xf numFmtId="0" fontId="48" fillId="16" borderId="10" xfId="27" applyFont="1" applyFill="1" applyBorder="1" applyAlignment="1">
      <alignment horizontal="right" wrapText="1"/>
    </xf>
    <xf numFmtId="0" fontId="48" fillId="16" borderId="10" xfId="0" applyFont="1" applyFill="1" applyBorder="1" applyAlignment="1">
      <alignment horizontal="right" wrapText="1"/>
    </xf>
    <xf numFmtId="0" fontId="28" fillId="16" borderId="11" xfId="0" applyFont="1" applyFill="1" applyBorder="1" applyAlignment="1">
      <alignment horizontal="left" vertical="center" wrapText="1"/>
    </xf>
    <xf numFmtId="0" fontId="28" fillId="16" borderId="10" xfId="0" applyFont="1" applyFill="1" applyBorder="1" applyAlignment="1">
      <alignment horizontal="left" vertical="center" wrapText="1"/>
    </xf>
    <xf numFmtId="0" fontId="28" fillId="16" borderId="12" xfId="0" applyFont="1" applyFill="1" applyBorder="1" applyAlignment="1">
      <alignment horizontal="left" vertical="center" wrapText="1"/>
    </xf>
    <xf numFmtId="0" fontId="28" fillId="0" borderId="12" xfId="27" applyFont="1" applyBorder="1" applyAlignment="1">
      <alignment horizontal="center" vertical="center" wrapText="1"/>
    </xf>
    <xf numFmtId="0" fontId="28" fillId="16" borderId="14" xfId="0" applyFont="1" applyFill="1" applyBorder="1" applyAlignment="1">
      <alignment vertical="center"/>
    </xf>
    <xf numFmtId="0" fontId="48" fillId="16" borderId="10" xfId="0" applyFont="1" applyFill="1" applyBorder="1" applyAlignment="1">
      <alignment vertical="center"/>
    </xf>
    <xf numFmtId="0" fontId="28" fillId="0" borderId="11" xfId="27" applyFont="1" applyBorder="1" applyAlignment="1">
      <alignment horizontal="center" vertical="center" wrapText="1"/>
    </xf>
    <xf numFmtId="0" fontId="28" fillId="0" borderId="13" xfId="27" applyFont="1" applyBorder="1" applyAlignment="1">
      <alignment horizontal="center" vertical="center" wrapText="1"/>
    </xf>
    <xf numFmtId="0" fontId="28" fillId="16" borderId="14" xfId="0" applyFont="1" applyFill="1" applyBorder="1" applyAlignment="1">
      <alignment wrapText="1"/>
    </xf>
    <xf numFmtId="0" fontId="28" fillId="0" borderId="31" xfId="27" applyFont="1" applyBorder="1" applyAlignment="1">
      <alignment horizontal="center" vertical="center" wrapText="1"/>
    </xf>
    <xf numFmtId="0" fontId="26" fillId="0" borderId="10" xfId="27" applyFont="1" applyBorder="1" applyAlignment="1">
      <alignment horizontal="left" vertical="center" wrapText="1"/>
    </xf>
    <xf numFmtId="0" fontId="27" fillId="0" borderId="0" xfId="27" applyFont="1" applyAlignment="1" applyProtection="1">
      <alignment horizontal="center"/>
      <protection locked="0"/>
    </xf>
    <xf numFmtId="0" fontId="27" fillId="0" borderId="10" xfId="27" applyFont="1" applyBorder="1" applyAlignment="1">
      <alignment horizontal="center" wrapText="1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4" fillId="16" borderId="0" xfId="0" applyFont="1" applyFill="1" applyProtection="1">
      <protection locked="0"/>
    </xf>
    <xf numFmtId="2" fontId="33" fillId="16" borderId="0" xfId="0" applyNumberFormat="1" applyFont="1" applyFill="1" applyProtection="1">
      <protection locked="0"/>
    </xf>
    <xf numFmtId="0" fontId="35" fillId="16" borderId="0" xfId="0" applyFont="1" applyFill="1" applyAlignment="1" applyProtection="1">
      <alignment wrapText="1"/>
      <protection locked="0"/>
    </xf>
    <xf numFmtId="0" fontId="33" fillId="0" borderId="0" xfId="0" applyFont="1" applyAlignment="1" applyProtection="1">
      <alignment wrapText="1"/>
      <protection locked="0"/>
    </xf>
    <xf numFmtId="0" fontId="42" fillId="16" borderId="0" xfId="0" applyFont="1" applyFill="1" applyAlignment="1" applyProtection="1">
      <alignment wrapText="1"/>
      <protection locked="0"/>
    </xf>
    <xf numFmtId="1" fontId="33" fillId="16" borderId="0" xfId="0" applyNumberFormat="1" applyFont="1" applyFill="1" applyProtection="1">
      <protection locked="0"/>
    </xf>
    <xf numFmtId="1" fontId="33" fillId="16" borderId="0" xfId="0" applyNumberFormat="1" applyFont="1" applyFill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1" xfId="0" applyFont="1" applyFill="1" applyBorder="1" applyAlignment="1">
      <alignment horizontal="left" vertical="center" wrapText="1"/>
    </xf>
    <xf numFmtId="0" fontId="26" fillId="0" borderId="10" xfId="27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2" xfId="27" applyFont="1" applyBorder="1" applyAlignment="1">
      <alignment horizontal="left" vertical="center" wrapText="1"/>
    </xf>
    <xf numFmtId="0" fontId="26" fillId="0" borderId="11" xfId="27" applyFont="1" applyBorder="1" applyAlignment="1">
      <alignment horizontal="left" wrapText="1"/>
    </xf>
    <xf numFmtId="0" fontId="26" fillId="0" borderId="11" xfId="27" applyFont="1" applyBorder="1" applyAlignment="1">
      <alignment horizontal="left" vertical="center" wrapText="1"/>
    </xf>
    <xf numFmtId="1" fontId="30" fillId="16" borderId="0" xfId="0" applyNumberFormat="1" applyFont="1" applyFill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49" fontId="30" fillId="16" borderId="0" xfId="0" applyNumberFormat="1" applyFont="1" applyFill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horizontal="center"/>
      <protection locked="0"/>
    </xf>
    <xf numFmtId="1" fontId="29" fillId="16" borderId="0" xfId="0" applyNumberFormat="1" applyFont="1" applyFill="1" applyAlignment="1" applyProtection="1">
      <alignment horizontal="center"/>
      <protection locked="0"/>
    </xf>
    <xf numFmtId="0" fontId="29" fillId="16" borderId="0" xfId="0" applyFont="1" applyFill="1" applyAlignment="1" applyProtection="1">
      <alignment horizontal="center"/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1" fontId="30" fillId="0" borderId="0" xfId="0" applyNumberFormat="1" applyFont="1" applyAlignment="1">
      <alignment horizontal="center"/>
    </xf>
    <xf numFmtId="1" fontId="29" fillId="16" borderId="0" xfId="0" applyNumberFormat="1" applyFont="1" applyFill="1" applyProtection="1">
      <protection locked="0"/>
    </xf>
    <xf numFmtId="165" fontId="29" fillId="0" borderId="0" xfId="0" applyNumberFormat="1" applyFont="1" applyAlignment="1" applyProtection="1">
      <alignment horizontal="center"/>
      <protection locked="0"/>
    </xf>
    <xf numFmtId="165" fontId="30" fillId="0" borderId="0" xfId="0" applyNumberFormat="1" applyFont="1" applyAlignment="1">
      <alignment horizontal="center"/>
    </xf>
    <xf numFmtId="165" fontId="30" fillId="0" borderId="0" xfId="0" applyNumberFormat="1" applyFont="1" applyAlignment="1" applyProtection="1">
      <alignment horizontal="center"/>
      <protection locked="0"/>
    </xf>
    <xf numFmtId="165" fontId="29" fillId="0" borderId="0" xfId="0" applyNumberFormat="1" applyFont="1" applyProtection="1">
      <protection locked="0"/>
    </xf>
    <xf numFmtId="1" fontId="37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1" fontId="37" fillId="0" borderId="0" xfId="0" applyNumberFormat="1" applyFont="1" applyProtection="1">
      <protection locked="0"/>
    </xf>
    <xf numFmtId="0" fontId="29" fillId="16" borderId="0" xfId="0" applyFont="1" applyFill="1" applyProtection="1">
      <protection locked="0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32" xfId="0" applyFont="1" applyFill="1" applyBorder="1" applyAlignment="1">
      <alignment horizontal="center"/>
    </xf>
    <xf numFmtId="9" fontId="25" fillId="16" borderId="32" xfId="0" applyNumberFormat="1" applyFont="1" applyFill="1" applyBorder="1" applyAlignment="1">
      <alignment horizontal="center" vertical="center" textRotation="90"/>
    </xf>
    <xf numFmtId="2" fontId="27" fillId="16" borderId="13" xfId="0" applyNumberFormat="1" applyFont="1" applyFill="1" applyBorder="1" applyAlignment="1">
      <alignment vertical="center" wrapText="1"/>
    </xf>
    <xf numFmtId="2" fontId="27" fillId="16" borderId="15" xfId="0" applyNumberFormat="1" applyFont="1" applyFill="1" applyBorder="1" applyAlignment="1">
      <alignment vertical="center" wrapText="1"/>
    </xf>
    <xf numFmtId="0" fontId="21" fillId="16" borderId="10" xfId="0" applyFont="1" applyFill="1" applyBorder="1"/>
    <xf numFmtId="2" fontId="27" fillId="16" borderId="14" xfId="0" applyNumberFormat="1" applyFont="1" applyFill="1" applyBorder="1" applyAlignment="1">
      <alignment vertical="center" wrapText="1"/>
    </xf>
    <xf numFmtId="0" fontId="25" fillId="16" borderId="11" xfId="0" applyFont="1" applyFill="1" applyBorder="1" applyAlignment="1">
      <alignment horizontal="center" vertical="center" wrapText="1"/>
    </xf>
    <xf numFmtId="9" fontId="25" fillId="16" borderId="11" xfId="0" applyNumberFormat="1" applyFont="1" applyFill="1" applyBorder="1" applyAlignment="1">
      <alignment horizontal="center" vertical="center" textRotation="90" wrapText="1"/>
    </xf>
    <xf numFmtId="9" fontId="27" fillId="16" borderId="10" xfId="0" applyNumberFormat="1" applyFont="1" applyFill="1" applyBorder="1" applyAlignment="1">
      <alignment horizontal="center" vertical="center" textRotation="90"/>
    </xf>
    <xf numFmtId="9" fontId="27" fillId="16" borderId="13" xfId="0" applyNumberFormat="1" applyFont="1" applyFill="1" applyBorder="1" applyAlignment="1">
      <alignment horizontal="center" vertical="center" textRotation="90"/>
    </xf>
    <xf numFmtId="0" fontId="27" fillId="16" borderId="14" xfId="0" applyFont="1" applyFill="1" applyBorder="1" applyAlignment="1">
      <alignment horizontal="center" vertical="center" wrapText="1"/>
    </xf>
    <xf numFmtId="0" fontId="23" fillId="16" borderId="12" xfId="0" applyFont="1" applyFill="1" applyBorder="1" applyAlignment="1">
      <alignment vertical="center"/>
    </xf>
    <xf numFmtId="0" fontId="44" fillId="16" borderId="10" xfId="0" applyFont="1" applyFill="1" applyBorder="1" applyAlignment="1">
      <alignment horizontal="center" wrapText="1"/>
    </xf>
    <xf numFmtId="0" fontId="27" fillId="16" borderId="10" xfId="0" applyFont="1" applyFill="1" applyBorder="1" applyAlignment="1">
      <alignment vertical="center"/>
    </xf>
    <xf numFmtId="166" fontId="28" fillId="16" borderId="10" xfId="23" applyNumberFormat="1" applyFont="1" applyFill="1" applyBorder="1" applyAlignment="1">
      <alignment horizontal="center" vertical="center"/>
    </xf>
    <xf numFmtId="1" fontId="28" fillId="16" borderId="10" xfId="0" applyNumberFormat="1" applyFont="1" applyFill="1" applyBorder="1" applyAlignment="1">
      <alignment vertical="center"/>
    </xf>
    <xf numFmtId="1" fontId="28" fillId="16" borderId="13" xfId="0" applyNumberFormat="1" applyFont="1" applyFill="1" applyBorder="1" applyAlignment="1">
      <alignment vertical="center"/>
    </xf>
    <xf numFmtId="0" fontId="23" fillId="16" borderId="10" xfId="0" applyFont="1" applyFill="1" applyBorder="1" applyAlignment="1">
      <alignment vertical="center"/>
    </xf>
    <xf numFmtId="49" fontId="28" fillId="16" borderId="10" xfId="0" applyNumberFormat="1" applyFont="1" applyFill="1" applyBorder="1" applyAlignment="1">
      <alignment horizontal="right" vertical="center"/>
    </xf>
    <xf numFmtId="1" fontId="30" fillId="16" borderId="0" xfId="0" applyNumberFormat="1" applyFont="1" applyFill="1" applyAlignment="1" applyProtection="1">
      <alignment horizontal="center"/>
      <protection locked="0"/>
    </xf>
    <xf numFmtId="0" fontId="31" fillId="16" borderId="0" xfId="0" applyFont="1" applyFill="1"/>
    <xf numFmtId="0" fontId="32" fillId="16" borderId="0" xfId="0" applyFont="1" applyFill="1" applyProtection="1">
      <protection locked="0"/>
    </xf>
    <xf numFmtId="1" fontId="32" fillId="16" borderId="0" xfId="0" applyNumberFormat="1" applyFont="1" applyFill="1" applyProtection="1">
      <protection locked="0"/>
    </xf>
    <xf numFmtId="0" fontId="33" fillId="16" borderId="0" xfId="0" applyFont="1" applyFill="1" applyProtection="1">
      <protection locked="0"/>
    </xf>
    <xf numFmtId="4" fontId="25" fillId="16" borderId="0" xfId="27" applyNumberFormat="1" applyFont="1" applyFill="1"/>
    <xf numFmtId="1" fontId="30" fillId="16" borderId="18" xfId="0" applyNumberFormat="1" applyFont="1" applyFill="1" applyBorder="1" applyAlignment="1" applyProtection="1">
      <alignment horizontal="center"/>
      <protection locked="0"/>
    </xf>
    <xf numFmtId="0" fontId="30" fillId="16" borderId="19" xfId="0" applyFont="1" applyFill="1" applyBorder="1" applyAlignment="1" applyProtection="1">
      <alignment horizontal="center"/>
      <protection locked="0"/>
    </xf>
    <xf numFmtId="1" fontId="29" fillId="16" borderId="22" xfId="0" applyNumberFormat="1" applyFont="1" applyFill="1" applyBorder="1" applyAlignment="1" applyProtection="1">
      <alignment horizontal="center"/>
      <protection locked="0"/>
    </xf>
    <xf numFmtId="1" fontId="30" fillId="16" borderId="23" xfId="0" applyNumberFormat="1" applyFont="1" applyFill="1" applyBorder="1" applyAlignment="1">
      <alignment horizontal="center"/>
    </xf>
    <xf numFmtId="0" fontId="51" fillId="16" borderId="0" xfId="27" applyFont="1" applyFill="1" applyAlignment="1">
      <alignment horizontal="center" vertical="center" wrapText="1"/>
    </xf>
    <xf numFmtId="1" fontId="29" fillId="16" borderId="25" xfId="0" applyNumberFormat="1" applyFont="1" applyFill="1" applyBorder="1" applyAlignment="1" applyProtection="1">
      <alignment horizontal="center"/>
      <protection locked="0"/>
    </xf>
    <xf numFmtId="0" fontId="30" fillId="16" borderId="26" xfId="0" applyFont="1" applyFill="1" applyBorder="1" applyAlignment="1" applyProtection="1">
      <alignment horizontal="center"/>
      <protection locked="0"/>
    </xf>
    <xf numFmtId="0" fontId="33" fillId="16" borderId="0" xfId="0" applyFont="1" applyFill="1" applyAlignment="1" applyProtection="1">
      <alignment wrapText="1"/>
      <protection locked="0"/>
    </xf>
    <xf numFmtId="1" fontId="29" fillId="16" borderId="27" xfId="0" applyNumberFormat="1" applyFont="1" applyFill="1" applyBorder="1" applyAlignment="1" applyProtection="1">
      <alignment horizontal="center"/>
      <protection locked="0"/>
    </xf>
    <xf numFmtId="1" fontId="30" fillId="16" borderId="26" xfId="0" applyNumberFormat="1" applyFont="1" applyFill="1" applyBorder="1" applyAlignment="1">
      <alignment horizontal="center"/>
    </xf>
    <xf numFmtId="0" fontId="50" fillId="16" borderId="0" xfId="27" applyFont="1" applyFill="1"/>
    <xf numFmtId="165" fontId="29" fillId="16" borderId="22" xfId="0" applyNumberFormat="1" applyFont="1" applyFill="1" applyBorder="1" applyAlignment="1" applyProtection="1">
      <alignment horizontal="center"/>
      <protection locked="0"/>
    </xf>
    <xf numFmtId="165" fontId="30" fillId="16" borderId="26" xfId="0" applyNumberFormat="1" applyFont="1" applyFill="1" applyBorder="1" applyAlignment="1">
      <alignment horizontal="center"/>
    </xf>
    <xf numFmtId="165" fontId="30" fillId="16" borderId="26" xfId="0" applyNumberFormat="1" applyFont="1" applyFill="1" applyBorder="1" applyAlignment="1" applyProtection="1">
      <alignment horizontal="center"/>
      <protection locked="0"/>
    </xf>
    <xf numFmtId="0" fontId="36" fillId="16" borderId="0" xfId="0" applyFont="1" applyFill="1" applyProtection="1">
      <protection locked="0"/>
    </xf>
    <xf numFmtId="1" fontId="36" fillId="16" borderId="0" xfId="0" applyNumberFormat="1" applyFont="1" applyFill="1" applyProtection="1">
      <protection locked="0"/>
    </xf>
    <xf numFmtId="0" fontId="30" fillId="16" borderId="25" xfId="0" applyFont="1" applyFill="1" applyBorder="1" applyAlignment="1" applyProtection="1">
      <alignment horizontal="center"/>
      <protection locked="0"/>
    </xf>
    <xf numFmtId="0" fontId="29" fillId="16" borderId="25" xfId="0" applyFont="1" applyFill="1" applyBorder="1" applyProtection="1">
      <protection locked="0"/>
    </xf>
    <xf numFmtId="1" fontId="29" fillId="16" borderId="25" xfId="0" applyNumberFormat="1" applyFont="1" applyFill="1" applyBorder="1" applyProtection="1">
      <protection locked="0"/>
    </xf>
    <xf numFmtId="165" fontId="29" fillId="16" borderId="26" xfId="0" applyNumberFormat="1" applyFont="1" applyFill="1" applyBorder="1" applyProtection="1">
      <protection locked="0"/>
    </xf>
    <xf numFmtId="0" fontId="30" fillId="16" borderId="0" xfId="0" applyFont="1" applyFill="1" applyProtection="1">
      <protection locked="0"/>
    </xf>
    <xf numFmtId="0" fontId="30" fillId="16" borderId="0" xfId="0" applyFont="1" applyFill="1" applyAlignment="1" applyProtection="1">
      <alignment horizontal="left" vertical="center"/>
      <protection locked="0"/>
    </xf>
    <xf numFmtId="1" fontId="29" fillId="16" borderId="21" xfId="0" applyNumberFormat="1" applyFont="1" applyFill="1" applyBorder="1" applyAlignment="1" applyProtection="1">
      <alignment horizontal="center"/>
      <protection locked="0"/>
    </xf>
    <xf numFmtId="1" fontId="29" fillId="16" borderId="24" xfId="0" applyNumberFormat="1" applyFont="1" applyFill="1" applyBorder="1" applyAlignment="1" applyProtection="1">
      <alignment horizontal="center"/>
      <protection locked="0"/>
    </xf>
    <xf numFmtId="0" fontId="29" fillId="16" borderId="24" xfId="0" applyFon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0" fontId="20" fillId="16" borderId="0" xfId="0" applyFont="1" applyFill="1" applyProtection="1">
      <protection locked="0"/>
    </xf>
    <xf numFmtId="1" fontId="37" fillId="16" borderId="24" xfId="0" applyNumberFormat="1" applyFont="1" applyFill="1" applyBorder="1" applyAlignment="1" applyProtection="1">
      <alignment horizontal="center"/>
      <protection locked="0"/>
    </xf>
    <xf numFmtId="0" fontId="37" fillId="16" borderId="25" xfId="0" applyFont="1" applyFill="1" applyBorder="1" applyProtection="1">
      <protection locked="0"/>
    </xf>
    <xf numFmtId="1" fontId="37" fillId="16" borderId="25" xfId="0" applyNumberFormat="1" applyFont="1" applyFill="1" applyBorder="1" applyProtection="1">
      <protection locked="0"/>
    </xf>
    <xf numFmtId="1" fontId="29" fillId="16" borderId="30" xfId="0" applyNumberFormat="1" applyFont="1" applyFill="1" applyBorder="1" applyAlignment="1" applyProtection="1">
      <alignment horizontal="center"/>
      <protection locked="0"/>
    </xf>
    <xf numFmtId="0" fontId="29" fillId="16" borderId="27" xfId="0" applyFont="1" applyFill="1" applyBorder="1" applyProtection="1">
      <protection locked="0"/>
    </xf>
    <xf numFmtId="1" fontId="29" fillId="16" borderId="27" xfId="0" applyNumberFormat="1" applyFont="1" applyFill="1" applyBorder="1" applyProtection="1">
      <protection locked="0"/>
    </xf>
    <xf numFmtId="0" fontId="30" fillId="16" borderId="10" xfId="0" applyFont="1" applyFill="1" applyBorder="1" applyProtection="1">
      <protection locked="0"/>
    </xf>
    <xf numFmtId="1" fontId="23" fillId="16" borderId="0" xfId="0" applyNumberFormat="1" applyFont="1" applyFill="1" applyAlignment="1">
      <alignment horizontal="left"/>
    </xf>
    <xf numFmtId="0" fontId="21" fillId="16" borderId="0" xfId="0" applyFont="1" applyFill="1"/>
    <xf numFmtId="0" fontId="24" fillId="16" borderId="0" xfId="0" applyFont="1" applyFill="1"/>
    <xf numFmtId="0" fontId="24" fillId="16" borderId="0" xfId="0" applyFont="1" applyFill="1" applyAlignment="1">
      <alignment horizontal="left"/>
    </xf>
    <xf numFmtId="1" fontId="23" fillId="16" borderId="0" xfId="0" applyNumberFormat="1" applyFont="1" applyFill="1"/>
    <xf numFmtId="0" fontId="0" fillId="16" borderId="0" xfId="0" applyFill="1"/>
    <xf numFmtId="0" fontId="23" fillId="16" borderId="12" xfId="0" applyFont="1" applyFill="1" applyBorder="1" applyAlignment="1">
      <alignment horizontal="center" vertical="center"/>
    </xf>
    <xf numFmtId="166" fontId="27" fillId="16" borderId="10" xfId="23" applyNumberFormat="1" applyFont="1" applyFill="1" applyBorder="1" applyAlignment="1">
      <alignment vertical="center"/>
    </xf>
    <xf numFmtId="0" fontId="41" fillId="16" borderId="10" xfId="0" applyFont="1" applyFill="1" applyBorder="1" applyAlignment="1">
      <alignment horizontal="center" wrapText="1"/>
    </xf>
    <xf numFmtId="0" fontId="43" fillId="16" borderId="10" xfId="0" applyFont="1" applyFill="1" applyBorder="1" applyAlignment="1">
      <alignment horizontal="left" vertical="center" wrapText="1"/>
    </xf>
    <xf numFmtId="0" fontId="28" fillId="16" borderId="11" xfId="0" applyFont="1" applyFill="1" applyBorder="1" applyAlignment="1">
      <alignment vertical="center" wrapText="1"/>
    </xf>
    <xf numFmtId="0" fontId="26" fillId="16" borderId="0" xfId="0" applyFont="1" applyFill="1" applyAlignment="1">
      <alignment horizontal="left"/>
    </xf>
    <xf numFmtId="0" fontId="28" fillId="16" borderId="0" xfId="27" applyFont="1" applyFill="1" applyProtection="1">
      <protection locked="0"/>
    </xf>
    <xf numFmtId="0" fontId="27" fillId="16" borderId="0" xfId="27" applyFont="1" applyFill="1" applyAlignment="1" applyProtection="1">
      <alignment horizontal="center"/>
      <protection locked="0"/>
    </xf>
    <xf numFmtId="0" fontId="25" fillId="16" borderId="0" xfId="0" applyFont="1" applyFill="1"/>
    <xf numFmtId="10" fontId="25" fillId="16" borderId="0" xfId="0" applyNumberFormat="1" applyFont="1" applyFill="1"/>
    <xf numFmtId="0" fontId="18" fillId="16" borderId="0" xfId="0" applyFont="1" applyFill="1" applyAlignment="1">
      <alignment horizontal="left"/>
    </xf>
    <xf numFmtId="166" fontId="25" fillId="16" borderId="0" xfId="0" applyNumberFormat="1" applyFont="1" applyFill="1"/>
    <xf numFmtId="1" fontId="18" fillId="16" borderId="0" xfId="0" applyNumberFormat="1" applyFont="1" applyFill="1"/>
    <xf numFmtId="0" fontId="22" fillId="16" borderId="0" xfId="0" applyFont="1" applyFill="1"/>
    <xf numFmtId="0" fontId="24" fillId="16" borderId="0" xfId="0" applyFont="1" applyFill="1" applyAlignment="1">
      <alignment horizontal="right"/>
    </xf>
    <xf numFmtId="165" fontId="27" fillId="16" borderId="10" xfId="27" applyNumberFormat="1" applyFont="1" applyFill="1" applyBorder="1" applyAlignment="1">
      <alignment horizontal="right"/>
    </xf>
    <xf numFmtId="1" fontId="27" fillId="16" borderId="10" xfId="27" applyNumberFormat="1" applyFont="1" applyFill="1" applyBorder="1" applyAlignment="1">
      <alignment horizontal="right"/>
    </xf>
    <xf numFmtId="0" fontId="25" fillId="16" borderId="0" xfId="27" applyFont="1" applyFill="1" applyAlignment="1">
      <alignment horizontal="center" wrapText="1"/>
    </xf>
    <xf numFmtId="0" fontId="27" fillId="16" borderId="0" xfId="0" applyFont="1" applyFill="1" applyAlignment="1">
      <alignment horizontal="right"/>
    </xf>
    <xf numFmtId="0" fontId="27" fillId="16" borderId="13" xfId="0" applyFont="1" applyFill="1" applyBorder="1" applyAlignment="1">
      <alignment horizontal="center" vertical="center" wrapText="1"/>
    </xf>
    <xf numFmtId="0" fontId="27" fillId="16" borderId="14" xfId="0" applyFont="1" applyFill="1" applyBorder="1" applyAlignment="1">
      <alignment horizontal="center" vertical="center" wrapText="1"/>
    </xf>
    <xf numFmtId="0" fontId="30" fillId="16" borderId="18" xfId="0" applyFont="1" applyFill="1" applyBorder="1" applyAlignment="1" applyProtection="1">
      <alignment horizontal="center"/>
      <protection locked="0"/>
    </xf>
    <xf numFmtId="0" fontId="29" fillId="16" borderId="21" xfId="0" applyFont="1" applyFill="1" applyBorder="1" applyAlignment="1" applyProtection="1">
      <alignment horizontal="left"/>
      <protection locked="0"/>
    </xf>
    <xf numFmtId="0" fontId="29" fillId="16" borderId="22" xfId="0" applyFont="1" applyFill="1" applyBorder="1" applyAlignment="1" applyProtection="1">
      <alignment horizontal="left"/>
      <protection locked="0"/>
    </xf>
    <xf numFmtId="0" fontId="29" fillId="16" borderId="24" xfId="0" applyFont="1" applyFill="1" applyBorder="1" applyAlignment="1" applyProtection="1">
      <alignment horizontal="left"/>
      <protection locked="0"/>
    </xf>
    <xf numFmtId="0" fontId="29" fillId="16" borderId="25" xfId="0" applyFont="1" applyFill="1" applyBorder="1" applyAlignment="1" applyProtection="1">
      <alignment horizontal="left"/>
      <protection locked="0"/>
    </xf>
    <xf numFmtId="0" fontId="30" fillId="16" borderId="24" xfId="0" applyFont="1" applyFill="1" applyBorder="1" applyAlignment="1" applyProtection="1">
      <alignment horizontal="left" vertical="center" wrapText="1"/>
      <protection locked="0"/>
    </xf>
    <xf numFmtId="0" fontId="30" fillId="16" borderId="25" xfId="0" applyFont="1" applyFill="1" applyBorder="1" applyAlignment="1" applyProtection="1">
      <alignment horizontal="left" vertical="center" wrapText="1"/>
      <protection locked="0"/>
    </xf>
    <xf numFmtId="0" fontId="25" fillId="16" borderId="0" xfId="27" applyFont="1" applyFill="1" applyAlignment="1">
      <alignment wrapText="1"/>
    </xf>
    <xf numFmtId="0" fontId="46" fillId="16" borderId="0" xfId="27" applyFill="1" applyAlignment="1">
      <alignment wrapText="1"/>
    </xf>
    <xf numFmtId="9" fontId="27" fillId="16" borderId="12" xfId="0" applyNumberFormat="1" applyFont="1" applyFill="1" applyBorder="1" applyAlignment="1">
      <alignment horizontal="center" vertical="center"/>
    </xf>
    <xf numFmtId="0" fontId="27" fillId="16" borderId="11" xfId="0" applyFont="1" applyFill="1" applyBorder="1" applyAlignment="1">
      <alignment horizontal="center" vertical="center"/>
    </xf>
    <xf numFmtId="1" fontId="27" fillId="16" borderId="12" xfId="0" applyNumberFormat="1" applyFont="1" applyFill="1" applyBorder="1" applyAlignment="1">
      <alignment horizontal="center" vertical="center" wrapText="1"/>
    </xf>
    <xf numFmtId="1" fontId="27" fillId="16" borderId="11" xfId="0" applyNumberFormat="1" applyFont="1" applyFill="1" applyBorder="1" applyAlignment="1">
      <alignment horizontal="center" vertical="center" wrapText="1"/>
    </xf>
    <xf numFmtId="1" fontId="30" fillId="16" borderId="10" xfId="0" applyNumberFormat="1" applyFont="1" applyFill="1" applyBorder="1" applyAlignment="1">
      <alignment horizontal="center" vertical="center"/>
    </xf>
    <xf numFmtId="1" fontId="30" fillId="16" borderId="28" xfId="0" applyNumberFormat="1" applyFont="1" applyFill="1" applyBorder="1" applyAlignment="1">
      <alignment horizontal="center" vertical="center"/>
    </xf>
    <xf numFmtId="1" fontId="30" fillId="16" borderId="23" xfId="0" applyNumberFormat="1" applyFont="1" applyFill="1" applyBorder="1" applyAlignment="1">
      <alignment horizontal="center" vertical="center"/>
    </xf>
    <xf numFmtId="1" fontId="29" fillId="16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16" borderId="29" xfId="0" applyFont="1" applyFill="1" applyBorder="1" applyAlignment="1" applyProtection="1">
      <alignment horizontal="center"/>
      <protection locked="0"/>
    </xf>
    <xf numFmtId="1" fontId="29" fillId="16" borderId="12" xfId="0" applyNumberFormat="1" applyFont="1" applyFill="1" applyBorder="1" applyAlignment="1" applyProtection="1">
      <alignment horizontal="center" vertical="center" wrapText="1"/>
      <protection locked="0"/>
    </xf>
    <xf numFmtId="1" fontId="29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16" borderId="24" xfId="0" applyFont="1" applyFill="1" applyBorder="1" applyAlignment="1" applyProtection="1">
      <alignment horizontal="center"/>
      <protection locked="0"/>
    </xf>
    <xf numFmtId="0" fontId="30" fillId="16" borderId="25" xfId="0" applyFont="1" applyFill="1" applyBorder="1" applyAlignment="1" applyProtection="1">
      <alignment horizontal="center"/>
      <protection locked="0"/>
    </xf>
    <xf numFmtId="0" fontId="24" fillId="16" borderId="10" xfId="0" applyFont="1" applyFill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right" vertical="center" textRotation="90" wrapText="1"/>
    </xf>
    <xf numFmtId="0" fontId="27" fillId="16" borderId="11" xfId="0" applyFont="1" applyFill="1" applyBorder="1" applyAlignment="1">
      <alignment horizontal="right" vertical="center" textRotation="90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horizontal="center" vertical="center" wrapText="1"/>
    </xf>
    <xf numFmtId="9" fontId="27" fillId="16" borderId="12" xfId="0" applyNumberFormat="1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right" vertical="center" textRotation="90" wrapText="1"/>
    </xf>
    <xf numFmtId="9" fontId="25" fillId="16" borderId="10" xfId="0" applyNumberFormat="1" applyFont="1" applyFill="1" applyBorder="1" applyAlignment="1">
      <alignment horizontal="center"/>
    </xf>
    <xf numFmtId="0" fontId="29" fillId="16" borderId="27" xfId="0" applyFont="1" applyFill="1" applyBorder="1" applyAlignment="1" applyProtection="1">
      <alignment horizontal="left"/>
      <protection locked="0"/>
    </xf>
    <xf numFmtId="9" fontId="25" fillId="16" borderId="12" xfId="0" applyNumberFormat="1" applyFont="1" applyFill="1" applyBorder="1" applyAlignment="1">
      <alignment horizontal="center" vertical="center" textRotation="90"/>
    </xf>
    <xf numFmtId="9" fontId="25" fillId="16" borderId="11" xfId="0" applyNumberFormat="1" applyFont="1" applyFill="1" applyBorder="1" applyAlignment="1">
      <alignment horizontal="center" vertical="center" textRotation="90"/>
    </xf>
    <xf numFmtId="0" fontId="27" fillId="16" borderId="32" xfId="0" applyFont="1" applyFill="1" applyBorder="1" applyAlignment="1">
      <alignment horizontal="center"/>
    </xf>
    <xf numFmtId="0" fontId="27" fillId="16" borderId="33" xfId="0" applyFont="1" applyFill="1" applyBorder="1" applyAlignment="1">
      <alignment horizontal="center"/>
    </xf>
    <xf numFmtId="0" fontId="27" fillId="16" borderId="15" xfId="0" applyFont="1" applyFill="1" applyBorder="1" applyAlignment="1">
      <alignment horizontal="center"/>
    </xf>
    <xf numFmtId="0" fontId="27" fillId="16" borderId="12" xfId="0" applyFont="1" applyFill="1" applyBorder="1" applyAlignment="1">
      <alignment horizontal="center" vertical="center" textRotation="90"/>
    </xf>
    <xf numFmtId="0" fontId="27" fillId="16" borderId="11" xfId="0" applyFont="1" applyFill="1" applyBorder="1" applyAlignment="1">
      <alignment horizontal="center" vertical="center" textRotation="90"/>
    </xf>
    <xf numFmtId="1" fontId="30" fillId="16" borderId="13" xfId="0" applyNumberFormat="1" applyFont="1" applyFill="1" applyBorder="1" applyAlignment="1" applyProtection="1">
      <alignment horizontal="center"/>
      <protection locked="0"/>
    </xf>
    <xf numFmtId="1" fontId="30" fillId="16" borderId="15" xfId="0" applyNumberFormat="1" applyFont="1" applyFill="1" applyBorder="1" applyAlignment="1" applyProtection="1">
      <alignment horizontal="center"/>
      <protection locked="0"/>
    </xf>
    <xf numFmtId="9" fontId="25" fillId="16" borderId="13" xfId="0" applyNumberFormat="1" applyFont="1" applyFill="1" applyBorder="1" applyAlignment="1">
      <alignment horizontal="center" vertical="center"/>
    </xf>
    <xf numFmtId="9" fontId="25" fillId="16" borderId="15" xfId="0" applyNumberFormat="1" applyFont="1" applyFill="1" applyBorder="1" applyAlignment="1">
      <alignment horizontal="center" vertical="center"/>
    </xf>
    <xf numFmtId="9" fontId="25" fillId="16" borderId="14" xfId="0" applyNumberFormat="1" applyFont="1" applyFill="1" applyBorder="1" applyAlignment="1">
      <alignment horizontal="center" vertical="center"/>
    </xf>
    <xf numFmtId="9" fontId="25" fillId="16" borderId="31" xfId="0" applyNumberFormat="1" applyFont="1" applyFill="1" applyBorder="1" applyAlignment="1">
      <alignment horizontal="center" vertical="center" textRotation="90"/>
    </xf>
    <xf numFmtId="9" fontId="25" fillId="16" borderId="32" xfId="0" applyNumberFormat="1" applyFont="1" applyFill="1" applyBorder="1" applyAlignment="1">
      <alignment horizontal="center" vertical="center" textRotation="90"/>
    </xf>
    <xf numFmtId="9" fontId="25" fillId="16" borderId="33" xfId="0" applyNumberFormat="1" applyFont="1" applyFill="1" applyBorder="1" applyAlignment="1">
      <alignment horizontal="center" vertical="center" textRotation="90"/>
    </xf>
    <xf numFmtId="0" fontId="27" fillId="16" borderId="15" xfId="0" applyFont="1" applyFill="1" applyBorder="1" applyAlignment="1">
      <alignment horizontal="center" vertical="center" wrapText="1"/>
    </xf>
    <xf numFmtId="0" fontId="29" fillId="16" borderId="40" xfId="0" applyFont="1" applyFill="1" applyBorder="1" applyAlignment="1" applyProtection="1">
      <alignment horizontal="left"/>
      <protection locked="0"/>
    </xf>
    <xf numFmtId="0" fontId="29" fillId="16" borderId="29" xfId="0" applyFont="1" applyFill="1" applyBorder="1" applyAlignment="1" applyProtection="1">
      <alignment horizontal="left"/>
      <protection locked="0"/>
    </xf>
    <xf numFmtId="0" fontId="38" fillId="16" borderId="40" xfId="0" applyFont="1" applyFill="1" applyBorder="1" applyAlignment="1" applyProtection="1">
      <alignment horizontal="left"/>
      <protection locked="0"/>
    </xf>
    <xf numFmtId="0" fontId="38" fillId="16" borderId="29" xfId="0" applyFont="1" applyFill="1" applyBorder="1" applyAlignment="1" applyProtection="1">
      <alignment horizontal="left"/>
      <protection locked="0"/>
    </xf>
    <xf numFmtId="0" fontId="29" fillId="16" borderId="0" xfId="0" applyFont="1" applyFill="1" applyAlignment="1" applyProtection="1">
      <alignment horizontal="left"/>
      <protection locked="0"/>
    </xf>
    <xf numFmtId="0" fontId="29" fillId="0" borderId="0" xfId="0" applyFont="1" applyAlignment="1" applyProtection="1">
      <alignment horizontal="left"/>
      <protection locked="0"/>
    </xf>
    <xf numFmtId="0" fontId="30" fillId="16" borderId="0" xfId="0" applyFont="1" applyFill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46" fillId="0" borderId="0" xfId="27" applyAlignment="1">
      <alignment wrapText="1"/>
    </xf>
    <xf numFmtId="1" fontId="29" fillId="16" borderId="0" xfId="0" applyNumberFormat="1" applyFont="1" applyFill="1" applyAlignment="1" applyProtection="1">
      <alignment horizontal="center" vertical="center" wrapText="1"/>
      <protection locked="0"/>
    </xf>
    <xf numFmtId="0" fontId="30" fillId="16" borderId="0" xfId="0" applyFont="1" applyFill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1" fontId="30" fillId="16" borderId="0" xfId="0" applyNumberFormat="1" applyFont="1" applyFill="1" applyAlignment="1">
      <alignment horizontal="center" vertical="center"/>
    </xf>
    <xf numFmtId="0" fontId="29" fillId="16" borderId="0" xfId="0" applyFont="1" applyFill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left"/>
      <protection locked="0"/>
    </xf>
    <xf numFmtId="0" fontId="27" fillId="0" borderId="0" xfId="0" applyFont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2" xfId="27" applyFont="1" applyBorder="1" applyAlignment="1">
      <alignment horizontal="center" vertical="center" wrapText="1"/>
    </xf>
    <xf numFmtId="0" fontId="28" fillId="0" borderId="11" xfId="27" applyFont="1" applyBorder="1" applyAlignment="1">
      <alignment horizontal="center" vertical="center" wrapText="1"/>
    </xf>
    <xf numFmtId="0" fontId="26" fillId="0" borderId="12" xfId="27" applyFont="1" applyBorder="1" applyAlignment="1">
      <alignment horizontal="left" vertical="center" wrapText="1"/>
    </xf>
    <xf numFmtId="0" fontId="26" fillId="0" borderId="11" xfId="27" applyFont="1" applyBorder="1" applyAlignment="1">
      <alignment horizontal="left" vertical="center" wrapText="1"/>
    </xf>
    <xf numFmtId="0" fontId="27" fillId="0" borderId="10" xfId="27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8" fillId="0" borderId="10" xfId="27" applyFont="1" applyBorder="1" applyAlignment="1">
      <alignment horizontal="center" vertical="center" wrapText="1"/>
    </xf>
    <xf numFmtId="0" fontId="27" fillId="0" borderId="35" xfId="27" applyFont="1" applyBorder="1" applyAlignment="1">
      <alignment horizontal="center" wrapText="1"/>
    </xf>
    <xf numFmtId="14" fontId="25" fillId="0" borderId="39" xfId="27" applyNumberFormat="1" applyFont="1" applyBorder="1" applyAlignment="1">
      <alignment horizontal="right"/>
    </xf>
    <xf numFmtId="0" fontId="25" fillId="0" borderId="39" xfId="27" applyFont="1" applyBorder="1" applyAlignment="1">
      <alignment horizontal="right"/>
    </xf>
    <xf numFmtId="0" fontId="25" fillId="16" borderId="0" xfId="27" applyFont="1" applyFill="1" applyAlignment="1">
      <alignment horizontal="center"/>
    </xf>
    <xf numFmtId="0" fontId="25" fillId="16" borderId="0" xfId="27" applyFont="1" applyFill="1" applyAlignment="1">
      <alignment horizontal="left" wrapText="1"/>
    </xf>
    <xf numFmtId="0" fontId="27" fillId="0" borderId="38" xfId="27" applyFont="1" applyBorder="1" applyAlignment="1">
      <alignment horizontal="center" vertical="center" wrapText="1"/>
    </xf>
    <xf numFmtId="0" fontId="27" fillId="0" borderId="20" xfId="27" applyFont="1" applyBorder="1" applyAlignment="1">
      <alignment horizontal="center" vertical="center" wrapText="1"/>
    </xf>
    <xf numFmtId="10" fontId="27" fillId="0" borderId="10" xfId="27" applyNumberFormat="1" applyFont="1" applyBorder="1" applyAlignment="1">
      <alignment horizontal="center" vertical="center" wrapText="1"/>
    </xf>
    <xf numFmtId="0" fontId="27" fillId="0" borderId="0" xfId="27" applyFont="1" applyProtection="1">
      <protection locked="0"/>
    </xf>
    <xf numFmtId="0" fontId="27" fillId="0" borderId="13" xfId="27" applyFont="1" applyBorder="1" applyAlignment="1">
      <alignment horizontal="center" vertical="center" wrapText="1"/>
    </xf>
    <xf numFmtId="0" fontId="27" fillId="0" borderId="14" xfId="27" applyFont="1" applyBorder="1" applyAlignment="1">
      <alignment horizontal="center" vertical="center" wrapText="1"/>
    </xf>
    <xf numFmtId="0" fontId="27" fillId="0" borderId="12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37" xfId="27" applyFont="1" applyBorder="1" applyAlignment="1">
      <alignment horizontal="center" vertical="center" wrapText="1"/>
    </xf>
    <xf numFmtId="0" fontId="28" fillId="0" borderId="13" xfId="27" applyFont="1" applyBorder="1" applyAlignment="1">
      <alignment horizontal="center" vertical="center" wrapText="1"/>
    </xf>
    <xf numFmtId="0" fontId="28" fillId="0" borderId="15" xfId="27" applyFont="1" applyBorder="1" applyAlignment="1">
      <alignment horizontal="center" vertical="center" wrapText="1"/>
    </xf>
    <xf numFmtId="0" fontId="27" fillId="0" borderId="31" xfId="27" applyFont="1" applyBorder="1" applyAlignment="1">
      <alignment horizontal="center" vertical="center" wrapText="1"/>
    </xf>
    <xf numFmtId="0" fontId="27" fillId="0" borderId="33" xfId="27" applyFont="1" applyBorder="1" applyAlignment="1">
      <alignment horizontal="center" vertical="center" wrapText="1"/>
    </xf>
    <xf numFmtId="0" fontId="27" fillId="0" borderId="34" xfId="27" applyFont="1" applyBorder="1" applyAlignment="1">
      <alignment horizontal="center" vertical="center" wrapText="1"/>
    </xf>
    <xf numFmtId="0" fontId="27" fillId="0" borderId="36" xfId="27" applyFont="1" applyBorder="1" applyAlignment="1">
      <alignment horizontal="center" vertical="center" wrapText="1"/>
    </xf>
    <xf numFmtId="0" fontId="27" fillId="16" borderId="12" xfId="27" applyFont="1" applyFill="1" applyBorder="1" applyAlignment="1">
      <alignment horizontal="center" vertical="center" wrapText="1"/>
    </xf>
    <xf numFmtId="0" fontId="27" fillId="16" borderId="37" xfId="27" applyFont="1" applyFill="1" applyBorder="1" applyAlignment="1">
      <alignment horizontal="center" vertical="center" wrapText="1"/>
    </xf>
    <xf numFmtId="0" fontId="27" fillId="16" borderId="11" xfId="27" applyFont="1" applyFill="1" applyBorder="1" applyAlignment="1">
      <alignment horizontal="center" vertical="center" wrapText="1"/>
    </xf>
  </cellXfs>
  <cellStyles count="2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6" xr:uid="{00000000-0005-0000-0000-000012000000}"/>
    <cellStyle name="Обычный 3" xfId="27" xr:uid="{00000000-0005-0000-0000-000013000000}"/>
    <cellStyle name="Обычный_нш 149 январь2009" xfId="25" xr:uid="{00000000-0005-0000-0000-00001400000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2" xfId="28" xr:uid="{00000000-0005-0000-0000-00001B000000}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ent/Desktop/&#1090;&#1072;&#1088;&#1080;&#1092;%2009.2024/&#1090;&#1072;&#1088;&#1080;&#1092;%2001.09.2021/Users/Gl.Economist/Downloads/Users/&#1072;&#1076;&#1084;&#1080;&#1085;/Downloads/Users/home/Desktop/&#1088;&#1072;&#1073;&#1086;&#1095;&#1080;&#1081;%20&#1089;&#1090;&#1086;&#1083;%202019/&#1090;&#1072;&#1088;&#1080;&#1092;%2001.01.19/&#1050;&#1091;&#1090;&#1087;&#1072;&#1085;&#1091;&#1083;&#1099;%202018&#1075;/&#1050;&#1091;&#1090;&#1087;&#1072;&#1085;&#1091;&#1083;&#1099;_&#1057;&#1064;_&#1090;&#1072;&#1088;&#1080;&#1092;&#1080;&#1082;&#1072;&#1094;&#1080;_&#1085;&#1072;_01.01.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акультативы"/>
      <sheetName val="показатели "/>
      <sheetName val="учителя"/>
      <sheetName val="Адмхоз"/>
      <sheetName val="нагрузка"/>
      <sheetName val="тетрадь,"/>
      <sheetName val="деление групп,"/>
      <sheetName val="обучение на дому"/>
      <sheetName val="мини_центр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>Сейтказиева Асыл Маратовна</v>
          </cell>
        </row>
        <row r="42">
          <cell r="E42">
            <v>2</v>
          </cell>
          <cell r="F42">
            <v>0</v>
          </cell>
        </row>
        <row r="43">
          <cell r="E43">
            <v>2</v>
          </cell>
          <cell r="F43">
            <v>0</v>
          </cell>
        </row>
        <row r="61">
          <cell r="F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6"/>
  <sheetViews>
    <sheetView view="pageBreakPreview" topLeftCell="A68" zoomScaleNormal="100" zoomScaleSheetLayoutView="100" workbookViewId="0">
      <pane xSplit="2" topLeftCell="K1" activePane="topRight" state="frozen"/>
      <selection activeCell="A26" sqref="A26"/>
      <selection pane="topRight" activeCell="O54" sqref="O54"/>
    </sheetView>
  </sheetViews>
  <sheetFormatPr defaultRowHeight="18" x14ac:dyDescent="0.25"/>
  <cols>
    <col min="1" max="1" width="5.42578125" style="18" customWidth="1"/>
    <col min="2" max="2" width="34.5703125" style="18" customWidth="1"/>
    <col min="3" max="3" width="20" style="18" customWidth="1"/>
    <col min="4" max="4" width="14" style="18" customWidth="1"/>
    <col min="5" max="5" width="21.42578125" style="18" customWidth="1"/>
    <col min="6" max="6" width="10.140625" style="18" customWidth="1"/>
    <col min="7" max="7" width="9" style="18" customWidth="1"/>
    <col min="8" max="8" width="11.140625" style="18" customWidth="1"/>
    <col min="9" max="12" width="14.85546875" style="253" customWidth="1"/>
    <col min="13" max="13" width="10.28515625" style="18" customWidth="1"/>
    <col min="14" max="14" width="7.7109375" style="18" customWidth="1"/>
    <col min="15" max="15" width="10.140625" style="18" customWidth="1"/>
    <col min="16" max="16" width="8.140625" style="18" customWidth="1"/>
    <col min="17" max="17" width="11.140625" style="18" customWidth="1"/>
    <col min="18" max="18" width="14.140625" style="18" customWidth="1"/>
    <col min="19" max="20" width="15.28515625" style="18" customWidth="1"/>
    <col min="21" max="23" width="14.7109375" style="18" customWidth="1"/>
    <col min="24" max="24" width="15.5703125" style="18" customWidth="1"/>
    <col min="25" max="25" width="14.7109375" style="18" customWidth="1"/>
    <col min="26" max="26" width="12" style="18" customWidth="1"/>
    <col min="27" max="27" width="15.28515625" style="18" customWidth="1"/>
    <col min="28" max="28" width="14.42578125" style="18" customWidth="1"/>
    <col min="29" max="29" width="17" style="18" customWidth="1"/>
    <col min="30" max="30" width="12" style="18" customWidth="1"/>
    <col min="31" max="32" width="13.5703125" style="18" customWidth="1"/>
    <col min="33" max="33" width="13" style="18" customWidth="1"/>
    <col min="34" max="35" width="15" style="18" customWidth="1"/>
    <col min="36" max="36" width="14.28515625" style="18" customWidth="1"/>
    <col min="37" max="37" width="13.7109375" style="18" customWidth="1"/>
    <col min="38" max="38" width="12.5703125" style="18" customWidth="1"/>
    <col min="39" max="39" width="13" style="18" customWidth="1"/>
    <col min="40" max="40" width="13.42578125" style="18" customWidth="1"/>
    <col min="41" max="41" width="17.5703125" style="18" customWidth="1"/>
    <col min="42" max="42" width="10.42578125" style="18" customWidth="1"/>
    <col min="43" max="43" width="14.28515625" style="18" bestFit="1" customWidth="1"/>
    <col min="44" max="44" width="12.28515625" style="18" customWidth="1"/>
    <col min="45" max="45" width="14.5703125" style="18" customWidth="1"/>
    <col min="46" max="46" width="15.85546875" style="18" customWidth="1"/>
    <col min="47" max="47" width="11.42578125" style="18" customWidth="1"/>
    <col min="48" max="48" width="15.85546875" style="18" customWidth="1"/>
    <col min="49" max="49" width="9.140625" style="18" customWidth="1"/>
    <col min="50" max="50" width="17.42578125" style="18" customWidth="1"/>
    <col min="51" max="16384" width="9.140625" style="1"/>
  </cols>
  <sheetData>
    <row r="1" spans="1:50" s="36" customFormat="1" ht="33.75" customHeight="1" thickBot="1" x14ac:dyDescent="0.45">
      <c r="A1" s="174"/>
      <c r="B1" s="174"/>
      <c r="C1" s="174"/>
      <c r="D1" s="174"/>
      <c r="E1" s="174"/>
      <c r="F1" s="174"/>
      <c r="G1" s="174"/>
      <c r="H1" s="174"/>
      <c r="I1" s="195"/>
      <c r="J1" s="174"/>
      <c r="K1" s="196"/>
      <c r="L1" s="196"/>
      <c r="M1" s="197"/>
      <c r="N1" s="197"/>
      <c r="O1" s="197"/>
      <c r="P1" s="197"/>
      <c r="Q1" s="197"/>
      <c r="R1" s="198"/>
      <c r="S1" s="174"/>
      <c r="T1" s="174"/>
      <c r="U1" s="174"/>
      <c r="V1" s="174"/>
      <c r="W1" s="174"/>
      <c r="X1" s="174"/>
      <c r="Y1" s="174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74"/>
      <c r="AQ1" s="174"/>
      <c r="AR1" s="166"/>
      <c r="AS1" s="166"/>
      <c r="AT1" s="174"/>
      <c r="AU1" s="197"/>
      <c r="AV1" s="197"/>
      <c r="AW1" s="197"/>
      <c r="AX1" s="197"/>
    </row>
    <row r="2" spans="1:50" s="36" customFormat="1" ht="33" customHeight="1" x14ac:dyDescent="0.45">
      <c r="A2" s="174"/>
      <c r="B2" s="199"/>
      <c r="C2" s="199"/>
      <c r="D2" s="199"/>
      <c r="E2" s="140"/>
      <c r="F2" s="140"/>
      <c r="G2" s="110" t="s">
        <v>161</v>
      </c>
      <c r="H2" s="110"/>
      <c r="I2" s="110"/>
      <c r="J2" s="113"/>
      <c r="K2" s="200"/>
      <c r="L2" s="110"/>
      <c r="M2" s="110"/>
      <c r="N2" s="110"/>
      <c r="O2" s="110"/>
      <c r="P2" s="110"/>
      <c r="Q2" s="110"/>
      <c r="R2" s="110" t="s">
        <v>160</v>
      </c>
      <c r="S2" s="110"/>
      <c r="T2" s="110"/>
      <c r="U2" s="110"/>
      <c r="V2" s="110"/>
      <c r="W2" s="110"/>
      <c r="X2" s="39"/>
      <c r="Y2" s="140"/>
      <c r="Z2" s="140"/>
      <c r="AA2" s="39"/>
      <c r="AB2" s="40" t="s">
        <v>44</v>
      </c>
      <c r="AC2" s="41"/>
      <c r="AD2" s="262" t="s">
        <v>45</v>
      </c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42" t="s">
        <v>0</v>
      </c>
      <c r="AQ2" s="201" t="s">
        <v>1</v>
      </c>
      <c r="AR2" s="42" t="s">
        <v>2</v>
      </c>
      <c r="AS2" s="202" t="s">
        <v>46</v>
      </c>
      <c r="AT2" s="197"/>
      <c r="AU2" s="197"/>
      <c r="AV2" s="197"/>
      <c r="AW2" s="197"/>
      <c r="AX2" s="197"/>
    </row>
    <row r="3" spans="1:50" s="36" customFormat="1" ht="31.5" customHeight="1" x14ac:dyDescent="0.45">
      <c r="A3" s="174"/>
      <c r="B3" s="140"/>
      <c r="C3" s="140"/>
      <c r="D3" s="140"/>
      <c r="E3" s="140"/>
      <c r="F3" s="140"/>
      <c r="G3" s="110"/>
      <c r="H3" s="110"/>
      <c r="I3" s="110"/>
      <c r="J3" s="113"/>
      <c r="K3" s="200"/>
      <c r="L3" s="110"/>
      <c r="M3" s="110"/>
      <c r="N3" s="110"/>
      <c r="O3" s="110"/>
      <c r="P3" s="110"/>
      <c r="Q3" s="110"/>
      <c r="R3" s="258" t="s">
        <v>260</v>
      </c>
      <c r="S3" s="258"/>
      <c r="T3" s="258"/>
      <c r="U3" s="258"/>
      <c r="V3" s="258"/>
      <c r="W3" s="110"/>
      <c r="X3" s="141"/>
      <c r="Y3" s="141"/>
      <c r="Z3" s="141"/>
      <c r="AA3" s="64"/>
      <c r="AB3" s="43">
        <v>1</v>
      </c>
      <c r="AC3" s="43"/>
      <c r="AD3" s="263" t="s">
        <v>220</v>
      </c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44">
        <v>8</v>
      </c>
      <c r="AQ3" s="203">
        <v>10</v>
      </c>
      <c r="AR3" s="44">
        <v>3</v>
      </c>
      <c r="AS3" s="204">
        <f>AR3+AQ3+AP3</f>
        <v>21</v>
      </c>
      <c r="AT3" s="197"/>
      <c r="AU3" s="197"/>
      <c r="AV3" s="197"/>
      <c r="AW3" s="197"/>
      <c r="AX3" s="197"/>
    </row>
    <row r="4" spans="1:50" s="36" customFormat="1" ht="49.5" customHeight="1" x14ac:dyDescent="0.45">
      <c r="A4" s="174"/>
      <c r="B4" s="140"/>
      <c r="C4" s="140"/>
      <c r="D4" s="140"/>
      <c r="E4" s="140"/>
      <c r="F4" s="140"/>
      <c r="G4" s="269" t="s">
        <v>198</v>
      </c>
      <c r="H4" s="270"/>
      <c r="I4" s="270"/>
      <c r="J4" s="270"/>
      <c r="K4" s="270"/>
      <c r="L4" s="270"/>
      <c r="M4" s="270"/>
      <c r="N4" s="270"/>
      <c r="O4" s="270"/>
      <c r="P4" s="110"/>
      <c r="Q4" s="110"/>
      <c r="R4" s="258"/>
      <c r="S4" s="258"/>
      <c r="T4" s="258"/>
      <c r="U4" s="258"/>
      <c r="V4" s="258"/>
      <c r="W4" s="205"/>
      <c r="X4" s="142"/>
      <c r="Y4" s="142"/>
      <c r="Z4" s="142"/>
      <c r="AA4" s="65"/>
      <c r="AB4" s="43">
        <v>2</v>
      </c>
      <c r="AC4" s="43"/>
      <c r="AD4" s="265" t="s">
        <v>221</v>
      </c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45">
        <v>8</v>
      </c>
      <c r="AQ4" s="206">
        <v>10</v>
      </c>
      <c r="AR4" s="45">
        <v>3</v>
      </c>
      <c r="AS4" s="207">
        <f>SUM(AP4:AR4)</f>
        <v>21</v>
      </c>
      <c r="AT4" s="197"/>
      <c r="AU4" s="197"/>
      <c r="AV4" s="197"/>
      <c r="AW4" s="197"/>
      <c r="AX4" s="197"/>
    </row>
    <row r="5" spans="1:50" s="36" customFormat="1" ht="26.25" customHeight="1" x14ac:dyDescent="0.45">
      <c r="A5" s="174"/>
      <c r="B5" s="208"/>
      <c r="C5" s="208"/>
      <c r="D5" s="208"/>
      <c r="E5" s="208"/>
      <c r="F5" s="208"/>
      <c r="G5" s="110"/>
      <c r="H5" s="110"/>
      <c r="I5" s="110"/>
      <c r="J5" s="113"/>
      <c r="K5" s="200"/>
      <c r="L5" s="110"/>
      <c r="M5" s="110"/>
      <c r="N5" s="110"/>
      <c r="O5" s="110"/>
      <c r="P5" s="110"/>
      <c r="Q5" s="110"/>
      <c r="R5" s="70"/>
      <c r="S5" s="70"/>
      <c r="T5" s="70"/>
      <c r="U5" s="70"/>
      <c r="V5" s="70"/>
      <c r="W5" s="70"/>
      <c r="X5" s="140"/>
      <c r="Y5" s="142"/>
      <c r="Z5" s="142"/>
      <c r="AA5" s="65"/>
      <c r="AB5" s="43">
        <v>3</v>
      </c>
      <c r="AC5" s="43"/>
      <c r="AD5" s="265" t="s">
        <v>222</v>
      </c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46">
        <v>122</v>
      </c>
      <c r="AQ5" s="209">
        <v>161</v>
      </c>
      <c r="AR5" s="46">
        <v>23</v>
      </c>
      <c r="AS5" s="210">
        <v>306</v>
      </c>
      <c r="AT5" s="197"/>
      <c r="AU5" s="197"/>
      <c r="AV5" s="197"/>
      <c r="AW5" s="197"/>
      <c r="AX5" s="197"/>
    </row>
    <row r="6" spans="1:50" s="36" customFormat="1" ht="30" customHeight="1" x14ac:dyDescent="0.45">
      <c r="A6" s="174"/>
      <c r="B6" s="140"/>
      <c r="C6" s="140"/>
      <c r="D6" s="140"/>
      <c r="E6" s="140"/>
      <c r="F6" s="140"/>
      <c r="G6" s="110" t="s">
        <v>159</v>
      </c>
      <c r="H6" s="211"/>
      <c r="I6" s="211"/>
      <c r="J6" s="110" t="s">
        <v>199</v>
      </c>
      <c r="K6" s="110"/>
      <c r="L6" s="110"/>
      <c r="M6" s="110"/>
      <c r="N6" s="110"/>
      <c r="O6" s="110"/>
      <c r="P6" s="110"/>
      <c r="Q6" s="110"/>
      <c r="S6" s="110"/>
      <c r="T6" s="110" t="s">
        <v>158</v>
      </c>
      <c r="U6" s="110" t="s">
        <v>219</v>
      </c>
      <c r="V6" s="110"/>
      <c r="W6" s="110"/>
      <c r="X6" s="144"/>
      <c r="Y6" s="144"/>
      <c r="Z6" s="144"/>
      <c r="AA6" s="66"/>
      <c r="AB6" s="278">
        <v>4</v>
      </c>
      <c r="AC6" s="280"/>
      <c r="AD6" s="267" t="s">
        <v>47</v>
      </c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75">
        <f>SUM(AP11+AP32)</f>
        <v>207</v>
      </c>
      <c r="AQ6" s="275">
        <f t="shared" ref="AQ6:AR6" si="0">SUM(AQ11+AQ32)</f>
        <v>358</v>
      </c>
      <c r="AR6" s="275">
        <f t="shared" si="0"/>
        <v>106</v>
      </c>
      <c r="AS6" s="276">
        <f>SUM(AP6:AR7)</f>
        <v>671</v>
      </c>
      <c r="AT6" s="197"/>
      <c r="AU6" s="197"/>
      <c r="AV6" s="197"/>
      <c r="AW6" s="197"/>
      <c r="AX6" s="197"/>
    </row>
    <row r="7" spans="1:50" s="36" customFormat="1" ht="30.75" customHeight="1" x14ac:dyDescent="0.45">
      <c r="A7" s="174"/>
      <c r="B7" s="140"/>
      <c r="C7" s="140"/>
      <c r="D7" s="140"/>
      <c r="E7" s="140"/>
      <c r="F7" s="140"/>
      <c r="G7" s="110"/>
      <c r="H7" s="110"/>
      <c r="I7" s="110"/>
      <c r="J7" s="113"/>
      <c r="K7" s="20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44"/>
      <c r="Y7" s="144"/>
      <c r="Z7" s="144"/>
      <c r="AA7" s="66"/>
      <c r="AB7" s="278"/>
      <c r="AC7" s="281"/>
      <c r="AD7" s="267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75"/>
      <c r="AQ7" s="275"/>
      <c r="AR7" s="275"/>
      <c r="AS7" s="277"/>
      <c r="AT7" s="197"/>
      <c r="AU7" s="197"/>
      <c r="AV7" s="197"/>
      <c r="AW7" s="197"/>
      <c r="AX7" s="197"/>
    </row>
    <row r="8" spans="1:50" s="36" customFormat="1" ht="27" customHeight="1" x14ac:dyDescent="0.45">
      <c r="A8" s="174"/>
      <c r="B8" s="140"/>
      <c r="C8" s="140"/>
      <c r="D8" s="140"/>
      <c r="E8" s="140"/>
      <c r="F8" s="140"/>
      <c r="G8" s="110" t="s">
        <v>263</v>
      </c>
      <c r="H8" s="110"/>
      <c r="I8" s="110"/>
      <c r="J8" s="113"/>
      <c r="K8" s="200"/>
      <c r="L8" s="110"/>
      <c r="M8" s="110"/>
      <c r="N8" s="110"/>
      <c r="O8" s="110"/>
      <c r="P8" s="110"/>
      <c r="Q8" s="110"/>
      <c r="R8" s="110" t="s">
        <v>262</v>
      </c>
      <c r="S8" s="110"/>
      <c r="T8" s="110"/>
      <c r="U8" s="110"/>
      <c r="V8" s="110"/>
      <c r="W8" s="110"/>
      <c r="X8" s="145"/>
      <c r="Y8" s="140"/>
      <c r="Z8" s="140"/>
      <c r="AA8" s="39"/>
      <c r="AB8" s="47"/>
      <c r="AC8" s="47"/>
      <c r="AD8" s="279" t="s">
        <v>48</v>
      </c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44"/>
      <c r="AQ8" s="212"/>
      <c r="AR8" s="44"/>
      <c r="AS8" s="213"/>
      <c r="AT8" s="197"/>
      <c r="AU8" s="197"/>
      <c r="AV8" s="197"/>
      <c r="AW8" s="197"/>
      <c r="AX8" s="197"/>
    </row>
    <row r="9" spans="1:50" s="36" customFormat="1" ht="27" customHeight="1" x14ac:dyDescent="0.45">
      <c r="A9" s="174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39"/>
      <c r="S9" s="146"/>
      <c r="T9" s="146"/>
      <c r="U9" s="140"/>
      <c r="V9" s="140"/>
      <c r="W9" s="140"/>
      <c r="X9" s="140"/>
      <c r="Y9" s="140"/>
      <c r="Z9" s="140"/>
      <c r="AA9" s="39"/>
      <c r="AB9" s="43" t="s">
        <v>49</v>
      </c>
      <c r="AC9" s="43"/>
      <c r="AD9" s="265" t="s">
        <v>50</v>
      </c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45">
        <v>188</v>
      </c>
      <c r="AQ9" s="206">
        <v>309</v>
      </c>
      <c r="AR9" s="45">
        <v>98</v>
      </c>
      <c r="AS9" s="214">
        <f>SUM(AP9:AR9)</f>
        <v>595</v>
      </c>
      <c r="AT9" s="197"/>
      <c r="AU9" s="197"/>
      <c r="AV9" s="197"/>
      <c r="AW9" s="197"/>
      <c r="AX9" s="197"/>
    </row>
    <row r="10" spans="1:50" s="36" customFormat="1" ht="28.5" customHeight="1" x14ac:dyDescent="0.45">
      <c r="A10" s="174"/>
      <c r="B10" s="140"/>
      <c r="C10" s="140"/>
      <c r="D10" s="140"/>
      <c r="E10" s="140"/>
      <c r="F10" s="215"/>
      <c r="G10" s="215"/>
      <c r="H10" s="215"/>
      <c r="I10" s="215"/>
      <c r="J10" s="215"/>
      <c r="K10" s="215"/>
      <c r="L10" s="215"/>
      <c r="M10" s="140"/>
      <c r="N10" s="140"/>
      <c r="O10" s="215"/>
      <c r="P10" s="215"/>
      <c r="Q10" s="215"/>
      <c r="R10" s="216"/>
      <c r="S10" s="215"/>
      <c r="T10" s="215"/>
      <c r="U10" s="215"/>
      <c r="V10" s="215"/>
      <c r="W10" s="215"/>
      <c r="X10" s="140"/>
      <c r="Y10" s="140"/>
      <c r="Z10" s="39"/>
      <c r="AA10" s="39"/>
      <c r="AB10" s="43" t="s">
        <v>51</v>
      </c>
      <c r="AC10" s="43"/>
      <c r="AD10" s="265" t="s">
        <v>52</v>
      </c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45">
        <v>6</v>
      </c>
      <c r="AQ10" s="45">
        <v>6</v>
      </c>
      <c r="AR10" s="45">
        <v>8</v>
      </c>
      <c r="AS10" s="214">
        <f t="shared" ref="AS10:AS11" si="1">SUM(AP10:AR10)</f>
        <v>20</v>
      </c>
      <c r="AT10" s="197"/>
      <c r="AU10" s="197"/>
      <c r="AV10" s="197"/>
      <c r="AW10" s="197"/>
      <c r="AX10" s="197"/>
    </row>
    <row r="11" spans="1:50" s="36" customFormat="1" ht="33.75" customHeight="1" x14ac:dyDescent="0.4">
      <c r="A11" s="174"/>
      <c r="B11" s="174"/>
      <c r="C11" s="174"/>
      <c r="D11" s="174"/>
      <c r="E11" s="174"/>
      <c r="F11" s="197"/>
      <c r="G11" s="197"/>
      <c r="H11" s="197"/>
      <c r="I11" s="197"/>
      <c r="J11" s="197"/>
      <c r="K11" s="197"/>
      <c r="L11" s="197"/>
      <c r="M11" s="174"/>
      <c r="N11" s="174"/>
      <c r="O11" s="197"/>
      <c r="P11" s="197"/>
      <c r="Q11" s="197"/>
      <c r="R11" s="198"/>
      <c r="S11" s="197"/>
      <c r="T11" s="197"/>
      <c r="U11" s="197"/>
      <c r="V11" s="197"/>
      <c r="W11" s="197"/>
      <c r="X11" s="197"/>
      <c r="Y11" s="197"/>
      <c r="Z11" s="166"/>
      <c r="AA11" s="166"/>
      <c r="AB11" s="47"/>
      <c r="AC11" s="47"/>
      <c r="AD11" s="282" t="s">
        <v>46</v>
      </c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17">
        <f>SUBTOTAL(9,AP9:AP10)</f>
        <v>194</v>
      </c>
      <c r="AQ11" s="217">
        <f t="shared" ref="AQ11:AR11" si="2">SUBTOTAL(9,AQ9:AQ10)</f>
        <v>315</v>
      </c>
      <c r="AR11" s="217">
        <f t="shared" si="2"/>
        <v>106</v>
      </c>
      <c r="AS11" s="214">
        <f t="shared" si="1"/>
        <v>615</v>
      </c>
      <c r="AT11" s="197"/>
      <c r="AU11" s="197"/>
      <c r="AV11" s="197"/>
      <c r="AW11" s="197"/>
      <c r="AX11" s="197"/>
    </row>
    <row r="12" spans="1:50" s="36" customFormat="1" ht="25.5" customHeight="1" x14ac:dyDescent="0.4">
      <c r="A12" s="174"/>
      <c r="B12" s="174"/>
      <c r="C12" s="174"/>
      <c r="D12" s="174"/>
      <c r="E12" s="174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66"/>
      <c r="S12" s="197"/>
      <c r="T12" s="197"/>
      <c r="U12" s="197"/>
      <c r="V12" s="197"/>
      <c r="W12" s="197"/>
      <c r="X12" s="197"/>
      <c r="Y12" s="197"/>
      <c r="Z12" s="166"/>
      <c r="AA12" s="166"/>
      <c r="AB12" s="43">
        <v>1</v>
      </c>
      <c r="AC12" s="43"/>
      <c r="AD12" s="265" t="s">
        <v>27</v>
      </c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18"/>
      <c r="AQ12" s="219"/>
      <c r="AR12" s="218"/>
      <c r="AS12" s="220"/>
      <c r="AT12" s="197"/>
      <c r="AU12" s="197"/>
      <c r="AV12" s="197"/>
      <c r="AW12" s="197"/>
      <c r="AX12" s="197"/>
    </row>
    <row r="13" spans="1:50" s="36" customFormat="1" ht="28.5" customHeight="1" x14ac:dyDescent="0.4">
      <c r="A13" s="174"/>
      <c r="B13" s="174"/>
      <c r="C13" s="174"/>
      <c r="D13" s="174"/>
      <c r="E13" s="174"/>
      <c r="F13" s="197"/>
      <c r="G13" s="197"/>
      <c r="H13" s="197"/>
      <c r="I13" s="197"/>
      <c r="J13" s="197"/>
      <c r="K13" s="197"/>
      <c r="L13" s="197"/>
      <c r="M13" s="174"/>
      <c r="N13" s="174"/>
      <c r="O13" s="174"/>
      <c r="P13" s="174"/>
      <c r="Q13" s="174"/>
      <c r="R13" s="166"/>
      <c r="S13" s="174"/>
      <c r="T13" s="174"/>
      <c r="U13" s="174"/>
      <c r="V13" s="174"/>
      <c r="W13" s="174"/>
      <c r="X13" s="174"/>
      <c r="Y13" s="174"/>
      <c r="Z13" s="166"/>
      <c r="AA13" s="166"/>
      <c r="AB13" s="43">
        <v>2</v>
      </c>
      <c r="AC13" s="43"/>
      <c r="AD13" s="265" t="s">
        <v>53</v>
      </c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18"/>
      <c r="AQ13" s="219"/>
      <c r="AR13" s="218"/>
      <c r="AS13" s="220"/>
      <c r="AT13" s="197"/>
      <c r="AU13" s="197"/>
      <c r="AV13" s="197"/>
      <c r="AW13" s="197"/>
      <c r="AX13" s="197"/>
    </row>
    <row r="14" spans="1:50" s="36" customFormat="1" ht="26.25" customHeight="1" x14ac:dyDescent="0.4">
      <c r="A14" s="174"/>
      <c r="B14" s="174"/>
      <c r="C14" s="174"/>
      <c r="D14" s="174"/>
      <c r="E14" s="174"/>
      <c r="F14" s="197"/>
      <c r="G14" s="197"/>
      <c r="H14" s="197"/>
      <c r="I14" s="197"/>
      <c r="J14" s="197"/>
      <c r="K14" s="197"/>
      <c r="L14" s="197"/>
      <c r="M14" s="174"/>
      <c r="N14" s="174"/>
      <c r="O14" s="221"/>
      <c r="P14" s="221"/>
      <c r="Q14" s="221"/>
      <c r="R14" s="195"/>
      <c r="S14" s="221"/>
      <c r="T14" s="221"/>
      <c r="U14" s="221"/>
      <c r="V14" s="221"/>
      <c r="W14" s="221"/>
      <c r="X14" s="174"/>
      <c r="Y14" s="174"/>
      <c r="Z14" s="166"/>
      <c r="AA14" s="166"/>
      <c r="AB14" s="43">
        <v>3</v>
      </c>
      <c r="AC14" s="43"/>
      <c r="AD14" s="265" t="s">
        <v>54</v>
      </c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18"/>
      <c r="AQ14" s="219"/>
      <c r="AR14" s="218"/>
      <c r="AS14" s="220"/>
      <c r="AT14" s="197"/>
      <c r="AU14" s="197"/>
      <c r="AV14" s="197"/>
      <c r="AW14" s="197"/>
      <c r="AX14" s="197"/>
    </row>
    <row r="15" spans="1:50" s="36" customFormat="1" ht="27.75" customHeight="1" x14ac:dyDescent="0.4">
      <c r="A15" s="174"/>
      <c r="B15" s="174"/>
      <c r="C15" s="174"/>
      <c r="D15" s="174"/>
      <c r="E15" s="174"/>
      <c r="F15" s="221" t="s">
        <v>55</v>
      </c>
      <c r="G15" s="221"/>
      <c r="H15" s="221"/>
      <c r="I15" s="221"/>
      <c r="J15" s="221"/>
      <c r="K15" s="221"/>
      <c r="L15" s="174"/>
      <c r="M15" s="197"/>
      <c r="N15" s="197"/>
      <c r="O15" s="197"/>
      <c r="P15" s="197"/>
      <c r="Q15" s="197"/>
      <c r="R15" s="198"/>
      <c r="S15" s="221"/>
      <c r="T15" s="221"/>
      <c r="U15" s="221"/>
      <c r="V15" s="221"/>
      <c r="W15" s="221"/>
      <c r="X15" s="174"/>
      <c r="Y15" s="174"/>
      <c r="Z15" s="166"/>
      <c r="AA15" s="166"/>
      <c r="AB15" s="43">
        <v>4</v>
      </c>
      <c r="AC15" s="43"/>
      <c r="AD15" s="265" t="s">
        <v>56</v>
      </c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18"/>
      <c r="AQ15" s="219"/>
      <c r="AR15" s="218"/>
      <c r="AS15" s="220"/>
      <c r="AT15" s="197"/>
      <c r="AU15" s="197"/>
      <c r="AV15" s="197"/>
      <c r="AW15" s="197"/>
      <c r="AX15" s="197"/>
    </row>
    <row r="16" spans="1:50" s="36" customFormat="1" ht="27" customHeight="1" x14ac:dyDescent="0.4">
      <c r="A16" s="174"/>
      <c r="B16" s="174"/>
      <c r="C16" s="174"/>
      <c r="D16" s="174"/>
      <c r="E16" s="174"/>
      <c r="F16" s="174"/>
      <c r="G16" s="157" t="s">
        <v>57</v>
      </c>
      <c r="H16" s="174"/>
      <c r="I16" s="174"/>
      <c r="J16" s="174"/>
      <c r="K16" s="197"/>
      <c r="L16" s="197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1"/>
      <c r="Y16" s="221"/>
      <c r="Z16" s="166"/>
      <c r="AA16" s="166"/>
      <c r="AB16" s="43">
        <v>5</v>
      </c>
      <c r="AC16" s="223"/>
      <c r="AD16" s="266" t="s">
        <v>58</v>
      </c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18">
        <v>3</v>
      </c>
      <c r="AQ16" s="219">
        <v>4</v>
      </c>
      <c r="AR16" s="218"/>
      <c r="AS16" s="220">
        <f>SUM(AP16:AR16)</f>
        <v>7</v>
      </c>
      <c r="AT16" s="197"/>
      <c r="AU16" s="197"/>
      <c r="AV16" s="197"/>
      <c r="AW16" s="197"/>
      <c r="AX16" s="197"/>
    </row>
    <row r="17" spans="1:50" s="36" customFormat="1" ht="21.75" customHeight="1" x14ac:dyDescent="0.4">
      <c r="A17" s="174"/>
      <c r="B17" s="174"/>
      <c r="C17" s="174"/>
      <c r="D17" s="174"/>
      <c r="E17" s="174"/>
      <c r="F17" s="197"/>
      <c r="G17" s="197"/>
      <c r="H17" s="197"/>
      <c r="I17" s="197"/>
      <c r="J17" s="197"/>
      <c r="K17" s="197"/>
      <c r="L17" s="197"/>
      <c r="M17" s="174"/>
      <c r="N17" s="174"/>
      <c r="O17" s="174"/>
      <c r="P17" s="174"/>
      <c r="Q17" s="174"/>
      <c r="R17" s="166"/>
      <c r="S17" s="174"/>
      <c r="T17" s="174"/>
      <c r="U17" s="174"/>
      <c r="V17" s="174"/>
      <c r="W17" s="174"/>
      <c r="X17" s="174"/>
      <c r="Y17" s="174"/>
      <c r="Z17" s="166"/>
      <c r="AA17" s="166"/>
      <c r="AB17" s="43">
        <v>6</v>
      </c>
      <c r="AC17" s="224"/>
      <c r="AD17" s="266" t="s">
        <v>59</v>
      </c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18">
        <v>4</v>
      </c>
      <c r="AQ17" s="219">
        <v>12</v>
      </c>
      <c r="AR17" s="218"/>
      <c r="AS17" s="220">
        <f t="shared" ref="AS17:AS18" si="3">SUM(AP17:AR17)</f>
        <v>16</v>
      </c>
      <c r="AT17" s="197"/>
      <c r="AU17" s="197"/>
      <c r="AV17" s="197"/>
      <c r="AW17" s="197"/>
      <c r="AX17" s="197"/>
    </row>
    <row r="18" spans="1:50" s="36" customFormat="1" ht="23.25" customHeight="1" x14ac:dyDescent="0.4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66"/>
      <c r="S18" s="174"/>
      <c r="T18" s="174"/>
      <c r="U18" s="174"/>
      <c r="V18" s="174"/>
      <c r="W18" s="174"/>
      <c r="X18" s="174"/>
      <c r="Y18" s="174"/>
      <c r="Z18" s="166"/>
      <c r="AA18" s="166"/>
      <c r="AB18" s="43">
        <v>7</v>
      </c>
      <c r="AC18" s="224"/>
      <c r="AD18" s="266" t="s">
        <v>169</v>
      </c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18"/>
      <c r="AQ18" s="219">
        <v>5</v>
      </c>
      <c r="AR18" s="218"/>
      <c r="AS18" s="220">
        <f t="shared" si="3"/>
        <v>5</v>
      </c>
      <c r="AT18" s="197"/>
      <c r="AU18" s="197"/>
      <c r="AV18" s="197"/>
      <c r="AW18" s="197"/>
      <c r="AX18" s="197"/>
    </row>
    <row r="19" spans="1:50" s="36" customFormat="1" ht="25.5" customHeight="1" x14ac:dyDescent="0.4">
      <c r="A19" s="174"/>
      <c r="B19" s="174"/>
      <c r="C19" s="174"/>
      <c r="D19" s="174"/>
      <c r="E19" s="174"/>
      <c r="F19" s="221"/>
      <c r="G19" s="195" t="s">
        <v>218</v>
      </c>
      <c r="H19" s="174"/>
      <c r="I19" s="174"/>
      <c r="J19" s="157"/>
      <c r="K19" s="221"/>
      <c r="L19" s="197"/>
      <c r="M19" s="174"/>
      <c r="N19" s="174"/>
      <c r="O19" s="174"/>
      <c r="P19" s="174"/>
      <c r="Q19" s="174"/>
      <c r="R19" s="166"/>
      <c r="S19" s="174"/>
      <c r="T19" s="174"/>
      <c r="U19" s="174"/>
      <c r="V19" s="174"/>
      <c r="W19" s="174"/>
      <c r="X19" s="174"/>
      <c r="Y19" s="174"/>
      <c r="Z19" s="166"/>
      <c r="AA19" s="166"/>
      <c r="AB19" s="43">
        <v>8</v>
      </c>
      <c r="AC19" s="224"/>
      <c r="AD19" s="266" t="s">
        <v>60</v>
      </c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18">
        <v>6</v>
      </c>
      <c r="AQ19" s="219">
        <v>12</v>
      </c>
      <c r="AR19" s="218"/>
      <c r="AS19" s="220">
        <f>SUM(AP19:AR19)</f>
        <v>18</v>
      </c>
      <c r="AT19" s="197"/>
      <c r="AU19" s="197"/>
      <c r="AV19" s="197"/>
      <c r="AW19" s="197"/>
      <c r="AX19" s="197"/>
    </row>
    <row r="20" spans="1:50" s="36" customFormat="1" ht="25.5" customHeight="1" x14ac:dyDescent="0.4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66"/>
      <c r="S20" s="174"/>
      <c r="T20" s="174"/>
      <c r="U20" s="174"/>
      <c r="V20" s="174"/>
      <c r="W20" s="174"/>
      <c r="X20" s="174"/>
      <c r="Y20" s="174"/>
      <c r="Z20" s="166"/>
      <c r="AA20" s="166"/>
      <c r="AB20" s="43">
        <v>9</v>
      </c>
      <c r="AC20" s="224"/>
      <c r="AD20" s="266" t="s">
        <v>61</v>
      </c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18"/>
      <c r="AQ20" s="219"/>
      <c r="AR20" s="218"/>
      <c r="AS20" s="220"/>
      <c r="AT20" s="197"/>
      <c r="AU20" s="197"/>
      <c r="AV20" s="197"/>
      <c r="AW20" s="197"/>
      <c r="AX20" s="197"/>
    </row>
    <row r="21" spans="1:50" s="36" customFormat="1" ht="28.5" customHeight="1" x14ac:dyDescent="0.4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66"/>
      <c r="S21" s="174"/>
      <c r="T21" s="174"/>
      <c r="U21" s="174"/>
      <c r="V21" s="174"/>
      <c r="W21" s="174"/>
      <c r="X21" s="174"/>
      <c r="Y21" s="174"/>
      <c r="Z21" s="166"/>
      <c r="AA21" s="166"/>
      <c r="AB21" s="43">
        <v>10</v>
      </c>
      <c r="AC21" s="224"/>
      <c r="AD21" s="266" t="s">
        <v>62</v>
      </c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18"/>
      <c r="AQ21" s="219"/>
      <c r="AR21" s="218"/>
      <c r="AS21" s="220"/>
      <c r="AT21" s="197"/>
      <c r="AU21" s="197"/>
      <c r="AV21" s="197"/>
      <c r="AW21" s="197"/>
      <c r="AX21" s="197"/>
    </row>
    <row r="22" spans="1:50" s="36" customFormat="1" ht="22.5" customHeight="1" x14ac:dyDescent="0.4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66"/>
      <c r="S22" s="174"/>
      <c r="T22" s="174"/>
      <c r="U22" s="174"/>
      <c r="V22" s="174"/>
      <c r="W22" s="174"/>
      <c r="X22" s="174"/>
      <c r="Y22" s="174"/>
      <c r="Z22" s="166"/>
      <c r="AA22" s="166"/>
      <c r="AB22" s="43">
        <v>11</v>
      </c>
      <c r="AC22" s="224"/>
      <c r="AD22" s="266" t="s">
        <v>63</v>
      </c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18"/>
      <c r="AQ22" s="219"/>
      <c r="AR22" s="218"/>
      <c r="AS22" s="220"/>
      <c r="AT22" s="197"/>
      <c r="AU22" s="197"/>
      <c r="AV22" s="197"/>
      <c r="AW22" s="197"/>
      <c r="AX22" s="197"/>
    </row>
    <row r="23" spans="1:50" s="36" customFormat="1" ht="28.5" customHeight="1" x14ac:dyDescent="0.4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66"/>
      <c r="S23" s="174"/>
      <c r="T23" s="174"/>
      <c r="U23" s="174"/>
      <c r="V23" s="174"/>
      <c r="W23" s="174"/>
      <c r="X23" s="174"/>
      <c r="Y23" s="174"/>
      <c r="Z23" s="166"/>
      <c r="AA23" s="166"/>
      <c r="AB23" s="43">
        <v>12</v>
      </c>
      <c r="AC23" s="224"/>
      <c r="AD23" s="266" t="s">
        <v>64</v>
      </c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18"/>
      <c r="AQ23" s="219"/>
      <c r="AR23" s="218"/>
      <c r="AS23" s="220"/>
      <c r="AT23" s="197"/>
      <c r="AU23" s="197"/>
      <c r="AV23" s="197"/>
      <c r="AW23" s="197"/>
      <c r="AX23" s="197"/>
    </row>
    <row r="24" spans="1:50" s="36" customFormat="1" ht="24.75" customHeight="1" x14ac:dyDescent="0.4">
      <c r="A24" s="174"/>
      <c r="B24" s="174"/>
      <c r="C24" s="221" t="s">
        <v>65</v>
      </c>
      <c r="D24" s="221"/>
      <c r="E24" s="221"/>
      <c r="F24" s="174">
        <v>21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66"/>
      <c r="S24" s="174"/>
      <c r="T24" s="174"/>
      <c r="U24" s="174"/>
      <c r="V24" s="174"/>
      <c r="W24" s="174"/>
      <c r="X24" s="174"/>
      <c r="Y24" s="174"/>
      <c r="Z24" s="166"/>
      <c r="AA24" s="166"/>
      <c r="AB24" s="43">
        <v>13</v>
      </c>
      <c r="AC24" s="224"/>
      <c r="AD24" s="266" t="s">
        <v>66</v>
      </c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18"/>
      <c r="AQ24" s="219">
        <v>10</v>
      </c>
      <c r="AR24" s="218"/>
      <c r="AS24" s="220">
        <f>SUM(AP24:AR24)</f>
        <v>10</v>
      </c>
      <c r="AT24" s="197"/>
      <c r="AU24" s="197"/>
      <c r="AV24" s="197"/>
      <c r="AW24" s="197"/>
      <c r="AX24" s="197"/>
    </row>
    <row r="25" spans="1:50" s="36" customFormat="1" ht="23.25" customHeight="1" x14ac:dyDescent="0.4">
      <c r="A25" s="174"/>
      <c r="B25" s="174"/>
      <c r="C25" s="221"/>
      <c r="D25" s="221"/>
      <c r="E25" s="221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66"/>
      <c r="S25" s="174"/>
      <c r="T25" s="174"/>
      <c r="U25" s="174"/>
      <c r="V25" s="174"/>
      <c r="W25" s="174"/>
      <c r="X25" s="174"/>
      <c r="Y25" s="174"/>
      <c r="Z25" s="166"/>
      <c r="AA25" s="166"/>
      <c r="AB25" s="43">
        <v>14</v>
      </c>
      <c r="AC25" s="224"/>
      <c r="AD25" s="310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218"/>
      <c r="AQ25" s="219"/>
      <c r="AR25" s="218"/>
      <c r="AS25" s="220"/>
      <c r="AT25" s="197"/>
      <c r="AU25" s="197"/>
      <c r="AV25" s="197"/>
      <c r="AW25" s="197"/>
      <c r="AX25" s="197"/>
    </row>
    <row r="26" spans="1:50" s="36" customFormat="1" ht="25.5" customHeight="1" x14ac:dyDescent="0.4">
      <c r="A26" s="174"/>
      <c r="B26" s="174"/>
      <c r="C26" s="221" t="s">
        <v>67</v>
      </c>
      <c r="D26" s="221"/>
      <c r="E26" s="221">
        <v>306</v>
      </c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66"/>
      <c r="S26" s="174"/>
      <c r="T26" s="174"/>
      <c r="U26" s="174"/>
      <c r="V26" s="174"/>
      <c r="W26" s="174"/>
      <c r="X26" s="174"/>
      <c r="Y26" s="174"/>
      <c r="Z26" s="166"/>
      <c r="AA26" s="166"/>
      <c r="AB26" s="43">
        <v>15</v>
      </c>
      <c r="AC26" s="225"/>
      <c r="AD26" s="310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218"/>
      <c r="AQ26" s="218"/>
      <c r="AR26" s="218"/>
      <c r="AS26" s="220"/>
      <c r="AT26" s="197"/>
      <c r="AU26" s="197"/>
      <c r="AV26" s="197"/>
      <c r="AW26" s="197"/>
      <c r="AX26" s="197"/>
    </row>
    <row r="27" spans="1:50" s="52" customFormat="1" ht="22.5" customHeight="1" x14ac:dyDescent="0.4">
      <c r="A27" s="226"/>
      <c r="B27" s="227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43">
        <v>16</v>
      </c>
      <c r="AC27" s="228"/>
      <c r="AD27" s="312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229"/>
      <c r="AQ27" s="230"/>
      <c r="AR27" s="229"/>
      <c r="AS27" s="220"/>
      <c r="AT27" s="226"/>
      <c r="AU27" s="226"/>
      <c r="AV27" s="226"/>
      <c r="AW27" s="226"/>
      <c r="AX27" s="226"/>
    </row>
    <row r="28" spans="1:50" s="36" customFormat="1" ht="33.75" customHeight="1" x14ac:dyDescent="0.4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66"/>
      <c r="S28" s="174"/>
      <c r="T28" s="174"/>
      <c r="U28" s="174"/>
      <c r="V28" s="174"/>
      <c r="W28" s="174"/>
      <c r="X28" s="174"/>
      <c r="Y28" s="174"/>
      <c r="Z28" s="166"/>
      <c r="AA28" s="166"/>
      <c r="AB28" s="43">
        <v>17</v>
      </c>
      <c r="AC28" s="224"/>
      <c r="AD28" s="266" t="s">
        <v>68</v>
      </c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18"/>
      <c r="AQ28" s="219"/>
      <c r="AR28" s="218"/>
      <c r="AS28" s="220"/>
      <c r="AT28" s="197"/>
      <c r="AU28" s="197"/>
      <c r="AV28" s="197"/>
      <c r="AW28" s="197"/>
      <c r="AX28" s="197"/>
    </row>
    <row r="29" spans="1:50" s="36" customFormat="1" ht="31.5" customHeight="1" x14ac:dyDescent="0.4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66"/>
      <c r="S29" s="174"/>
      <c r="T29" s="174"/>
      <c r="U29" s="174"/>
      <c r="V29" s="174"/>
      <c r="W29" s="174"/>
      <c r="X29" s="174"/>
      <c r="Y29" s="174"/>
      <c r="Z29" s="166"/>
      <c r="AA29" s="166"/>
      <c r="AB29" s="43">
        <v>18</v>
      </c>
      <c r="AC29" s="224"/>
      <c r="AD29" s="266" t="s">
        <v>69</v>
      </c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18"/>
      <c r="AQ29" s="219"/>
      <c r="AR29" s="218"/>
      <c r="AS29" s="220"/>
      <c r="AT29" s="197"/>
      <c r="AU29" s="197"/>
      <c r="AV29" s="197"/>
      <c r="AW29" s="197"/>
      <c r="AX29" s="197"/>
    </row>
    <row r="30" spans="1:50" s="36" customFormat="1" ht="29.25" customHeight="1" x14ac:dyDescent="0.4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66"/>
      <c r="S30" s="174"/>
      <c r="T30" s="174"/>
      <c r="U30" s="197"/>
      <c r="V30" s="197"/>
      <c r="W30" s="197"/>
      <c r="X30" s="174"/>
      <c r="Y30" s="174"/>
      <c r="Z30" s="166"/>
      <c r="AA30" s="166"/>
      <c r="AB30" s="43">
        <v>19</v>
      </c>
      <c r="AC30" s="224"/>
      <c r="AD30" s="266" t="s">
        <v>70</v>
      </c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18"/>
      <c r="AQ30" s="219"/>
      <c r="AR30" s="218"/>
      <c r="AS30" s="220"/>
      <c r="AT30" s="197"/>
      <c r="AU30" s="197"/>
      <c r="AV30" s="197"/>
      <c r="AW30" s="197"/>
      <c r="AX30" s="197"/>
    </row>
    <row r="31" spans="1:50" s="36" customFormat="1" ht="38.25" customHeight="1" x14ac:dyDescent="0.4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66"/>
      <c r="S31" s="174"/>
      <c r="T31" s="174"/>
      <c r="U31" s="174"/>
      <c r="V31" s="174"/>
      <c r="W31" s="174"/>
      <c r="X31" s="174"/>
      <c r="Y31" s="174"/>
      <c r="Z31" s="166"/>
      <c r="AA31" s="166"/>
      <c r="AB31" s="43">
        <v>20</v>
      </c>
      <c r="AC31" s="231"/>
      <c r="AD31" s="293" t="s">
        <v>71</v>
      </c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32"/>
      <c r="AQ31" s="233"/>
      <c r="AR31" s="232"/>
      <c r="AS31" s="220"/>
      <c r="AT31" s="197"/>
      <c r="AU31" s="197"/>
      <c r="AV31" s="197"/>
      <c r="AW31" s="197"/>
      <c r="AX31" s="197"/>
    </row>
    <row r="32" spans="1:50" s="36" customFormat="1" ht="36" customHeight="1" x14ac:dyDescent="0.4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66"/>
      <c r="S32" s="174"/>
      <c r="T32" s="174"/>
      <c r="U32" s="174"/>
      <c r="V32" s="174"/>
      <c r="W32" s="174"/>
      <c r="X32" s="174"/>
      <c r="Y32" s="174"/>
      <c r="Z32" s="166"/>
      <c r="AA32" s="166"/>
      <c r="AB32" s="301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234">
        <f>SUM(AP12:AP31)</f>
        <v>13</v>
      </c>
      <c r="AQ32" s="234">
        <f t="shared" ref="AQ32:AR32" si="4">SUM(AQ12:AQ31)</f>
        <v>43</v>
      </c>
      <c r="AR32" s="234">
        <f t="shared" si="4"/>
        <v>0</v>
      </c>
      <c r="AS32" s="234">
        <f>SUM(AS12:AS31)</f>
        <v>56</v>
      </c>
      <c r="AT32" s="197"/>
      <c r="AU32" s="197"/>
      <c r="AV32" s="197"/>
      <c r="AW32" s="197"/>
      <c r="AX32" s="197"/>
    </row>
    <row r="33" spans="1:50" s="3" customFormat="1" ht="24.75" customHeight="1" x14ac:dyDescent="0.45">
      <c r="A33" s="19"/>
      <c r="B33" s="20"/>
      <c r="C33" s="20"/>
      <c r="D33" s="20"/>
      <c r="E33" s="20"/>
      <c r="F33" s="20"/>
      <c r="G33" s="20"/>
      <c r="H33" s="20"/>
      <c r="I33" s="235"/>
      <c r="J33" s="235"/>
      <c r="K33" s="235"/>
      <c r="L33" s="235"/>
      <c r="M33" s="259" t="s">
        <v>264</v>
      </c>
      <c r="N33" s="259"/>
      <c r="O33" s="259"/>
      <c r="P33" s="259"/>
      <c r="Q33" s="259"/>
      <c r="R33" s="25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9"/>
      <c r="AK33" s="19"/>
      <c r="AL33" s="19"/>
      <c r="AM33" s="19"/>
      <c r="AN33" s="19"/>
      <c r="AO33" s="19"/>
      <c r="AP33" s="236"/>
      <c r="AQ33" s="236"/>
      <c r="AR33" s="236"/>
      <c r="AS33" s="236"/>
      <c r="AT33" s="236"/>
      <c r="AU33" s="236"/>
      <c r="AV33" s="236"/>
      <c r="AW33" s="236"/>
      <c r="AX33" s="236"/>
    </row>
    <row r="34" spans="1:50" s="3" customFormat="1" ht="28.5" customHeight="1" x14ac:dyDescent="0.45">
      <c r="A34" s="19"/>
      <c r="B34" s="20"/>
      <c r="C34" s="20"/>
      <c r="D34" s="20"/>
      <c r="E34" s="20"/>
      <c r="F34" s="20"/>
      <c r="G34" s="20"/>
      <c r="H34" s="20"/>
      <c r="I34" s="235"/>
      <c r="J34" s="235"/>
      <c r="K34" s="235"/>
      <c r="L34" s="235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8"/>
      <c r="AJ34" s="19"/>
      <c r="AK34" s="19"/>
      <c r="AL34" s="19"/>
      <c r="AM34" s="19"/>
      <c r="AN34" s="19"/>
      <c r="AO34" s="19"/>
      <c r="AP34" s="236"/>
      <c r="AQ34" s="236"/>
      <c r="AR34" s="236"/>
      <c r="AS34" s="236"/>
      <c r="AT34" s="236"/>
      <c r="AU34" s="236"/>
      <c r="AV34" s="236"/>
      <c r="AW34" s="236"/>
      <c r="AX34" s="236"/>
    </row>
    <row r="35" spans="1:50" s="3" customFormat="1" ht="22.5" customHeight="1" x14ac:dyDescent="0.45">
      <c r="A35" s="19"/>
      <c r="B35" s="19"/>
      <c r="C35" s="19"/>
      <c r="D35" s="19"/>
      <c r="E35" s="19"/>
      <c r="F35" s="19"/>
      <c r="G35" s="19"/>
      <c r="H35" s="19"/>
      <c r="I35" s="239">
        <v>17697</v>
      </c>
      <c r="J35" s="239"/>
      <c r="K35" s="239"/>
      <c r="L35" s="23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236"/>
      <c r="AQ35" s="240">
        <v>3692</v>
      </c>
      <c r="AR35" s="240"/>
      <c r="AS35" s="240"/>
      <c r="AT35" s="236"/>
      <c r="AU35" s="236"/>
      <c r="AV35" s="236"/>
      <c r="AW35" s="236"/>
      <c r="AX35" s="236"/>
    </row>
    <row r="36" spans="1:50" s="3" customFormat="1" ht="1.5" hidden="1" customHeight="1" x14ac:dyDescent="0.45">
      <c r="A36" s="19"/>
      <c r="B36" s="19"/>
      <c r="C36" s="19"/>
      <c r="D36" s="19"/>
      <c r="E36" s="19"/>
      <c r="F36" s="19"/>
      <c r="G36" s="19"/>
      <c r="H36" s="19"/>
      <c r="I36" s="239"/>
      <c r="J36" s="239"/>
      <c r="K36" s="239"/>
      <c r="L36" s="23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36"/>
      <c r="AQ36" s="236"/>
      <c r="AR36" s="236"/>
      <c r="AS36" s="236"/>
      <c r="AT36" s="236"/>
      <c r="AU36" s="236"/>
      <c r="AV36" s="236"/>
      <c r="AW36" s="236"/>
      <c r="AX36" s="236"/>
    </row>
    <row r="37" spans="1:50" s="3" customFormat="1" ht="34.5" hidden="1" customHeight="1" x14ac:dyDescent="0.45">
      <c r="A37" s="19"/>
      <c r="B37" s="19"/>
      <c r="C37" s="19"/>
      <c r="D37" s="19"/>
      <c r="E37" s="19"/>
      <c r="F37" s="19"/>
      <c r="G37" s="19"/>
      <c r="H37" s="19"/>
      <c r="I37" s="239"/>
      <c r="J37" s="239"/>
      <c r="K37" s="239"/>
      <c r="L37" s="23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36"/>
      <c r="AQ37" s="236"/>
      <c r="AR37" s="236"/>
      <c r="AS37" s="236"/>
      <c r="AT37" s="236"/>
      <c r="AU37" s="236"/>
      <c r="AV37" s="236"/>
      <c r="AW37" s="236"/>
      <c r="AX37" s="236"/>
    </row>
    <row r="38" spans="1:50" s="3" customFormat="1" ht="34.5" hidden="1" customHeight="1" x14ac:dyDescent="0.45">
      <c r="A38" s="19"/>
      <c r="B38" s="19"/>
      <c r="C38" s="19"/>
      <c r="D38" s="19"/>
      <c r="E38" s="19"/>
      <c r="F38" s="19"/>
      <c r="G38" s="19"/>
      <c r="H38" s="19"/>
      <c r="I38" s="239"/>
      <c r="J38" s="239"/>
      <c r="K38" s="239"/>
      <c r="L38" s="23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236"/>
      <c r="AQ38" s="236"/>
      <c r="AR38" s="236"/>
      <c r="AS38" s="236"/>
      <c r="AT38" s="236"/>
      <c r="AU38" s="236"/>
      <c r="AV38" s="236"/>
      <c r="AW38" s="236"/>
      <c r="AX38" s="236"/>
    </row>
    <row r="39" spans="1:50" s="3" customFormat="1" ht="32.25" hidden="1" customHeight="1" thickBot="1" x14ac:dyDescent="0.5">
      <c r="A39" s="19"/>
      <c r="B39" s="19"/>
      <c r="C39" s="19"/>
      <c r="D39" s="19"/>
      <c r="E39" s="19"/>
      <c r="F39" s="19"/>
      <c r="G39" s="19"/>
      <c r="H39" s="19"/>
      <c r="I39" s="239"/>
      <c r="J39" s="239"/>
      <c r="K39" s="239"/>
      <c r="L39" s="23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236"/>
      <c r="AQ39" s="236"/>
      <c r="AR39" s="236"/>
      <c r="AS39" s="236"/>
      <c r="AT39" s="236"/>
      <c r="AU39" s="236"/>
      <c r="AV39" s="236"/>
      <c r="AW39" s="236"/>
      <c r="AX39" s="236"/>
    </row>
    <row r="40" spans="1:50" s="3" customFormat="1" ht="34.5" hidden="1" customHeight="1" x14ac:dyDescent="0.45">
      <c r="A40" s="19"/>
      <c r="B40" s="19"/>
      <c r="C40" s="19"/>
      <c r="D40" s="19"/>
      <c r="E40" s="19"/>
      <c r="F40" s="19"/>
      <c r="G40" s="19"/>
      <c r="H40" s="19"/>
      <c r="I40" s="239"/>
      <c r="J40" s="239"/>
      <c r="K40" s="239"/>
      <c r="L40" s="23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36"/>
      <c r="AQ40" s="236"/>
      <c r="AR40" s="236"/>
      <c r="AS40" s="236"/>
      <c r="AT40" s="236"/>
      <c r="AU40" s="236"/>
      <c r="AV40" s="236"/>
      <c r="AW40" s="236"/>
      <c r="AX40" s="236"/>
    </row>
    <row r="41" spans="1:50" s="3" customFormat="1" ht="42.75" customHeight="1" x14ac:dyDescent="0.45">
      <c r="A41" s="284" t="s">
        <v>3</v>
      </c>
      <c r="B41" s="287" t="s">
        <v>4</v>
      </c>
      <c r="C41" s="287" t="s">
        <v>16</v>
      </c>
      <c r="D41" s="287" t="s">
        <v>17</v>
      </c>
      <c r="E41" s="288" t="s">
        <v>23</v>
      </c>
      <c r="F41" s="291" t="s">
        <v>5</v>
      </c>
      <c r="G41" s="291" t="s">
        <v>6</v>
      </c>
      <c r="H41" s="285" t="s">
        <v>14</v>
      </c>
      <c r="I41" s="273" t="s">
        <v>9</v>
      </c>
      <c r="J41" s="290" t="s">
        <v>40</v>
      </c>
      <c r="K41" s="273" t="s">
        <v>178</v>
      </c>
      <c r="L41" s="273" t="s">
        <v>164</v>
      </c>
      <c r="M41" s="296"/>
      <c r="N41" s="296"/>
      <c r="O41" s="296"/>
      <c r="P41" s="296"/>
      <c r="Q41" s="296"/>
      <c r="R41" s="297"/>
      <c r="S41" s="298"/>
      <c r="T41" s="298"/>
      <c r="U41" s="298"/>
      <c r="V41" s="298"/>
      <c r="W41" s="176"/>
      <c r="X41" s="299" t="s">
        <v>28</v>
      </c>
      <c r="Y41" s="271">
        <v>0.1</v>
      </c>
      <c r="Z41" s="67" t="s">
        <v>36</v>
      </c>
      <c r="AA41" s="68"/>
      <c r="AB41" s="292" t="s">
        <v>29</v>
      </c>
      <c r="AC41" s="292"/>
      <c r="AD41" s="303" t="s">
        <v>30</v>
      </c>
      <c r="AE41" s="304"/>
      <c r="AF41" s="305"/>
      <c r="AG41" s="294" t="s">
        <v>31</v>
      </c>
      <c r="AH41" s="306"/>
      <c r="AI41" s="307"/>
      <c r="AJ41" s="307"/>
      <c r="AK41" s="308"/>
      <c r="AL41" s="177"/>
      <c r="AM41" s="177"/>
      <c r="AN41" s="178" t="s">
        <v>7</v>
      </c>
      <c r="AO41" s="179"/>
      <c r="AP41" s="179"/>
      <c r="AQ41" s="179"/>
      <c r="AR41" s="179"/>
      <c r="AS41" s="179"/>
      <c r="AT41" s="179"/>
      <c r="AU41" s="180"/>
      <c r="AV41" s="180"/>
      <c r="AW41" s="181"/>
      <c r="AX41" s="288" t="s">
        <v>15</v>
      </c>
    </row>
    <row r="42" spans="1:50" s="3" customFormat="1" ht="171" customHeight="1" x14ac:dyDescent="0.45">
      <c r="A42" s="284"/>
      <c r="B42" s="287"/>
      <c r="C42" s="287"/>
      <c r="D42" s="287"/>
      <c r="E42" s="289"/>
      <c r="F42" s="291"/>
      <c r="G42" s="291"/>
      <c r="H42" s="286"/>
      <c r="I42" s="274"/>
      <c r="J42" s="289"/>
      <c r="K42" s="274"/>
      <c r="L42" s="274"/>
      <c r="M42" s="30" t="s">
        <v>11</v>
      </c>
      <c r="N42" s="30" t="s">
        <v>111</v>
      </c>
      <c r="O42" s="30" t="s">
        <v>12</v>
      </c>
      <c r="P42" s="30" t="s">
        <v>112</v>
      </c>
      <c r="Q42" s="30" t="s">
        <v>207</v>
      </c>
      <c r="R42" s="30" t="s">
        <v>208</v>
      </c>
      <c r="S42" s="30" t="s">
        <v>11</v>
      </c>
      <c r="T42" s="30" t="s">
        <v>113</v>
      </c>
      <c r="U42" s="30" t="s">
        <v>12</v>
      </c>
      <c r="V42" s="30" t="s">
        <v>114</v>
      </c>
      <c r="W42" s="30" t="s">
        <v>207</v>
      </c>
      <c r="X42" s="300"/>
      <c r="Y42" s="272"/>
      <c r="Z42" s="28" t="s">
        <v>37</v>
      </c>
      <c r="AA42" s="28" t="s">
        <v>38</v>
      </c>
      <c r="AB42" s="28" t="s">
        <v>32</v>
      </c>
      <c r="AC42" s="28" t="s">
        <v>33</v>
      </c>
      <c r="AD42" s="182" t="s">
        <v>73</v>
      </c>
      <c r="AE42" s="31" t="s">
        <v>34</v>
      </c>
      <c r="AF42" s="183" t="s">
        <v>35</v>
      </c>
      <c r="AG42" s="295"/>
      <c r="AH42" s="30" t="s">
        <v>41</v>
      </c>
      <c r="AI42" s="55" t="s">
        <v>74</v>
      </c>
      <c r="AJ42" s="184">
        <v>0.4</v>
      </c>
      <c r="AK42" s="184">
        <v>0.5</v>
      </c>
      <c r="AL42" s="185" t="s">
        <v>76</v>
      </c>
      <c r="AM42" s="185" t="s">
        <v>75</v>
      </c>
      <c r="AN42" s="260" t="s">
        <v>42</v>
      </c>
      <c r="AO42" s="261"/>
      <c r="AP42" s="175" t="s">
        <v>18</v>
      </c>
      <c r="AQ42" s="260" t="s">
        <v>43</v>
      </c>
      <c r="AR42" s="261"/>
      <c r="AS42" s="260" t="s">
        <v>166</v>
      </c>
      <c r="AT42" s="309"/>
      <c r="AU42" s="260" t="s">
        <v>189</v>
      </c>
      <c r="AV42" s="309"/>
      <c r="AW42" s="186" t="s">
        <v>13</v>
      </c>
      <c r="AX42" s="289"/>
    </row>
    <row r="43" spans="1:50" s="15" customFormat="1" ht="34.5" x14ac:dyDescent="0.2">
      <c r="A43" s="241">
        <v>1</v>
      </c>
      <c r="B43" s="22" t="s">
        <v>223</v>
      </c>
      <c r="C43" s="58" t="s">
        <v>224</v>
      </c>
      <c r="D43" s="58" t="s">
        <v>79</v>
      </c>
      <c r="E43" s="58" t="s">
        <v>106</v>
      </c>
      <c r="F43" s="23" t="s">
        <v>249</v>
      </c>
      <c r="G43" s="188">
        <v>5.32</v>
      </c>
      <c r="H43" s="58">
        <v>21.04</v>
      </c>
      <c r="I43" s="29">
        <f>17697*G43</f>
        <v>94148.040000000008</v>
      </c>
      <c r="J43" s="29">
        <f>I43*0.25</f>
        <v>23537.010000000002</v>
      </c>
      <c r="K43" s="29">
        <f>(I43+J43)*1</f>
        <v>117685.05000000002</v>
      </c>
      <c r="L43" s="29">
        <f>(I43+J43)*2</f>
        <v>235370.10000000003</v>
      </c>
      <c r="M43" s="24"/>
      <c r="N43" s="24"/>
      <c r="O43" s="24">
        <v>6</v>
      </c>
      <c r="P43" s="24"/>
      <c r="Q43" s="24">
        <v>2</v>
      </c>
      <c r="R43" s="189">
        <f>SUM(M43:Q43)</f>
        <v>8</v>
      </c>
      <c r="S43" s="27">
        <f t="shared" ref="S43:S55" si="5">M43/16*L43</f>
        <v>0</v>
      </c>
      <c r="T43" s="27">
        <f t="shared" ref="T43:T81" si="6">N43/16*L43</f>
        <v>0</v>
      </c>
      <c r="U43" s="27">
        <f t="shared" ref="U43:U81" si="7">O43/16*L43</f>
        <v>88263.787500000006</v>
      </c>
      <c r="V43" s="27">
        <f t="shared" ref="V43:V81" si="8">P43/16*L43</f>
        <v>0</v>
      </c>
      <c r="W43" s="27">
        <f>Q43/16*L43</f>
        <v>29421.262500000004</v>
      </c>
      <c r="X43" s="27">
        <f>SUM(S43:W43)</f>
        <v>117685.05000000002</v>
      </c>
      <c r="Y43" s="190">
        <f>X43*0.1</f>
        <v>11768.505000000003</v>
      </c>
      <c r="Z43" s="24">
        <f>SUM(N43+P43)</f>
        <v>0</v>
      </c>
      <c r="AA43" s="24">
        <f t="shared" ref="AA43:AA48" si="9">SUM(($I$35/16)*Z43)*0.4</f>
        <v>0</v>
      </c>
      <c r="AB43" s="24">
        <f t="shared" ref="AB43:AB80" si="10">SUM(R43)</f>
        <v>8</v>
      </c>
      <c r="AC43" s="29">
        <f t="shared" ref="AC43:AC76" si="11">L43*0.3/16*AB43</f>
        <v>35305.515000000007</v>
      </c>
      <c r="AD43" s="29">
        <f t="shared" ref="AD43:AD80" si="12">SUM(R43)</f>
        <v>8</v>
      </c>
      <c r="AE43" s="27">
        <v>40</v>
      </c>
      <c r="AF43" s="29">
        <f t="shared" ref="AF43:AF49" si="13">(L43*AE43/100)/16*AD43</f>
        <v>47074.020000000011</v>
      </c>
      <c r="AG43" s="29"/>
      <c r="AH43" s="62"/>
      <c r="AI43" s="63">
        <v>2</v>
      </c>
      <c r="AJ43" s="191">
        <f>SUM(17697/16*0.4*AH43)</f>
        <v>0</v>
      </c>
      <c r="AK43" s="191">
        <f>SUM(17697/16*0.5*AI43)</f>
        <v>1106.0625</v>
      </c>
      <c r="AL43" s="63"/>
      <c r="AM43" s="63"/>
      <c r="AN43" s="24">
        <f>SUM($I$35*AL43)*0.5</f>
        <v>0</v>
      </c>
      <c r="AO43" s="24">
        <f>SUM($I$35*AM43)*0.6</f>
        <v>0</v>
      </c>
      <c r="AP43" s="24"/>
      <c r="AQ43" s="24"/>
      <c r="AR43" s="24">
        <f>SUM($I$35*AQ43)</f>
        <v>0</v>
      </c>
      <c r="AS43" s="24"/>
      <c r="AT43" s="192">
        <f>SUM($I$35*AS43)</f>
        <v>0</v>
      </c>
      <c r="AU43" s="130"/>
      <c r="AV43" s="191">
        <f>SUM($I$35*AU43)</f>
        <v>0</v>
      </c>
      <c r="AW43" s="129"/>
      <c r="AX43" s="242">
        <f>X43+Y43+AA43+AC43+AF43+AG43+AJ43+AK43+AN43+AO43+AP43+AR43+AT43+AW43+AV43</f>
        <v>212939.15250000005</v>
      </c>
    </row>
    <row r="44" spans="1:50" s="15" customFormat="1" ht="34.5" x14ac:dyDescent="0.2">
      <c r="A44" s="187">
        <v>2</v>
      </c>
      <c r="B44" s="22" t="s">
        <v>80</v>
      </c>
      <c r="C44" s="58" t="s">
        <v>72</v>
      </c>
      <c r="D44" s="58" t="s">
        <v>79</v>
      </c>
      <c r="E44" s="58" t="s">
        <v>105</v>
      </c>
      <c r="F44" s="23" t="s">
        <v>24</v>
      </c>
      <c r="G44" s="188">
        <v>5.2</v>
      </c>
      <c r="H44" s="59">
        <v>32.04</v>
      </c>
      <c r="I44" s="29">
        <f t="shared" ref="I44:I81" si="14">17697*G44</f>
        <v>92024.400000000009</v>
      </c>
      <c r="J44" s="29">
        <f t="shared" ref="J44:J81" si="15">I44*0.25</f>
        <v>23006.100000000002</v>
      </c>
      <c r="K44" s="29">
        <f t="shared" ref="K44:K81" si="16">(I44+J44)*1</f>
        <v>115030.50000000001</v>
      </c>
      <c r="L44" s="29">
        <f t="shared" ref="L44:L81" si="17">(I44+J44)*2</f>
        <v>230061.00000000003</v>
      </c>
      <c r="M44" s="24"/>
      <c r="N44" s="24"/>
      <c r="O44" s="61">
        <v>6</v>
      </c>
      <c r="P44" s="61"/>
      <c r="Q44" s="61">
        <v>2</v>
      </c>
      <c r="R44" s="189">
        <f t="shared" ref="R44:R81" si="18">SUM(M44:Q44)</f>
        <v>8</v>
      </c>
      <c r="S44" s="27">
        <f t="shared" si="5"/>
        <v>0</v>
      </c>
      <c r="T44" s="27">
        <f t="shared" si="6"/>
        <v>0</v>
      </c>
      <c r="U44" s="27">
        <f t="shared" si="7"/>
        <v>86272.875000000015</v>
      </c>
      <c r="V44" s="27">
        <f t="shared" si="8"/>
        <v>0</v>
      </c>
      <c r="W44" s="27">
        <f t="shared" ref="W44:W62" si="19">Q44/16*L44</f>
        <v>28757.625000000004</v>
      </c>
      <c r="X44" s="27">
        <f t="shared" ref="X44:X76" si="20">SUM(S44:W44)</f>
        <v>115030.50000000001</v>
      </c>
      <c r="Y44" s="190">
        <f t="shared" ref="Y44:Y75" si="21">X44*0.1</f>
        <v>11503.050000000003</v>
      </c>
      <c r="Z44" s="24">
        <f t="shared" ref="Z44:Z62" si="22">SUM(N44+P44)</f>
        <v>0</v>
      </c>
      <c r="AA44" s="24">
        <f t="shared" si="9"/>
        <v>0</v>
      </c>
      <c r="AB44" s="24">
        <f t="shared" si="10"/>
        <v>8</v>
      </c>
      <c r="AC44" s="29">
        <f t="shared" si="11"/>
        <v>34509.15</v>
      </c>
      <c r="AD44" s="29">
        <f t="shared" si="12"/>
        <v>8</v>
      </c>
      <c r="AE44" s="27">
        <v>35</v>
      </c>
      <c r="AF44" s="29">
        <f t="shared" si="13"/>
        <v>40260.675000000003</v>
      </c>
      <c r="AG44" s="29"/>
      <c r="AH44" s="62">
        <v>3.5</v>
      </c>
      <c r="AI44" s="63"/>
      <c r="AJ44" s="191">
        <f t="shared" ref="AJ44:AJ75" si="23">SUM(17697/16*0.4*AH44)</f>
        <v>1548.4875</v>
      </c>
      <c r="AK44" s="191">
        <f t="shared" ref="AK44:AK75" si="24">SUM(17697/16*0.5*AI44)</f>
        <v>0</v>
      </c>
      <c r="AL44" s="63"/>
      <c r="AM44" s="63"/>
      <c r="AN44" s="24">
        <f>SUM($I$35*AL44)*0.5</f>
        <v>0</v>
      </c>
      <c r="AO44" s="24">
        <f>SUM($I$35*AM44)*0.6</f>
        <v>0</v>
      </c>
      <c r="AP44" s="24"/>
      <c r="AQ44" s="24"/>
      <c r="AR44" s="24">
        <f>SUM($I$35*AQ44)</f>
        <v>0</v>
      </c>
      <c r="AS44" s="24"/>
      <c r="AT44" s="192">
        <f>SUM($I$35*AS44)</f>
        <v>0</v>
      </c>
      <c r="AU44" s="130"/>
      <c r="AV44" s="191">
        <f>SUM($I$35*AU44)</f>
        <v>0</v>
      </c>
      <c r="AW44" s="129"/>
      <c r="AX44" s="242">
        <f t="shared" ref="AX44:AX81" si="25">X44+Y44+AA44+AC44+AF44+AG44+AJ44+AK44+AN44+AO44+AP44+AR44+AT44+AW44+AV44</f>
        <v>202851.86249999999</v>
      </c>
    </row>
    <row r="45" spans="1:50" s="16" customFormat="1" ht="34.5" x14ac:dyDescent="0.2">
      <c r="A45" s="241">
        <v>3</v>
      </c>
      <c r="B45" s="22" t="s">
        <v>81</v>
      </c>
      <c r="C45" s="58" t="s">
        <v>82</v>
      </c>
      <c r="D45" s="58" t="s">
        <v>79</v>
      </c>
      <c r="E45" s="58" t="s">
        <v>110</v>
      </c>
      <c r="F45" s="23" t="s">
        <v>25</v>
      </c>
      <c r="G45" s="188">
        <v>5.16</v>
      </c>
      <c r="H45" s="59">
        <v>39.04</v>
      </c>
      <c r="I45" s="29">
        <f t="shared" si="14"/>
        <v>91316.52</v>
      </c>
      <c r="J45" s="29">
        <f t="shared" si="15"/>
        <v>22829.13</v>
      </c>
      <c r="K45" s="29">
        <f t="shared" si="16"/>
        <v>114145.65000000001</v>
      </c>
      <c r="L45" s="29">
        <f t="shared" si="17"/>
        <v>228291.30000000002</v>
      </c>
      <c r="M45" s="24"/>
      <c r="N45" s="24"/>
      <c r="O45" s="61">
        <v>24</v>
      </c>
      <c r="P45" s="61"/>
      <c r="Q45" s="61"/>
      <c r="R45" s="189">
        <f t="shared" si="18"/>
        <v>24</v>
      </c>
      <c r="S45" s="27">
        <f t="shared" si="5"/>
        <v>0</v>
      </c>
      <c r="T45" s="27">
        <f t="shared" si="6"/>
        <v>0</v>
      </c>
      <c r="U45" s="27">
        <f t="shared" si="7"/>
        <v>342436.95</v>
      </c>
      <c r="V45" s="27">
        <f t="shared" si="8"/>
        <v>0</v>
      </c>
      <c r="W45" s="27">
        <f t="shared" si="19"/>
        <v>0</v>
      </c>
      <c r="X45" s="27">
        <f t="shared" si="20"/>
        <v>342436.95</v>
      </c>
      <c r="Y45" s="190">
        <f t="shared" si="21"/>
        <v>34243.695</v>
      </c>
      <c r="Z45" s="24">
        <f t="shared" si="22"/>
        <v>0</v>
      </c>
      <c r="AA45" s="24">
        <f t="shared" si="9"/>
        <v>0</v>
      </c>
      <c r="AB45" s="24">
        <f t="shared" si="10"/>
        <v>24</v>
      </c>
      <c r="AC45" s="29">
        <f t="shared" si="11"/>
        <v>102731.08499999999</v>
      </c>
      <c r="AD45" s="29">
        <f t="shared" si="12"/>
        <v>24</v>
      </c>
      <c r="AE45" s="27">
        <v>30</v>
      </c>
      <c r="AF45" s="29">
        <f t="shared" si="13"/>
        <v>102731.08500000002</v>
      </c>
      <c r="AG45" s="29"/>
      <c r="AH45" s="62">
        <v>11</v>
      </c>
      <c r="AI45" s="63"/>
      <c r="AJ45" s="191">
        <f t="shared" si="23"/>
        <v>4866.6750000000002</v>
      </c>
      <c r="AK45" s="191">
        <f t="shared" si="24"/>
        <v>0</v>
      </c>
      <c r="AL45" s="63"/>
      <c r="AM45" s="63">
        <v>0.5</v>
      </c>
      <c r="AN45" s="24">
        <f>SUM($I$35*AL45)*0.5</f>
        <v>0</v>
      </c>
      <c r="AO45" s="24">
        <f>SUM($I$35*AM45)*0.6</f>
        <v>5309.0999999999995</v>
      </c>
      <c r="AP45" s="24"/>
      <c r="AQ45" s="24"/>
      <c r="AR45" s="24">
        <f>SUM($I$35*AQ45)</f>
        <v>0</v>
      </c>
      <c r="AS45" s="24"/>
      <c r="AT45" s="192">
        <f>SUM($I$35*AS45)</f>
        <v>0</v>
      </c>
      <c r="AU45" s="130"/>
      <c r="AV45" s="191">
        <f>SUM($I$35*AU45)</f>
        <v>0</v>
      </c>
      <c r="AW45" s="129"/>
      <c r="AX45" s="242">
        <f t="shared" si="25"/>
        <v>592318.59</v>
      </c>
    </row>
    <row r="46" spans="1:50" s="15" customFormat="1" ht="34.5" x14ac:dyDescent="0.2">
      <c r="A46" s="241">
        <v>4</v>
      </c>
      <c r="B46" s="22" t="s">
        <v>265</v>
      </c>
      <c r="C46" s="58" t="s">
        <v>82</v>
      </c>
      <c r="D46" s="58" t="s">
        <v>79</v>
      </c>
      <c r="E46" s="58" t="s">
        <v>105</v>
      </c>
      <c r="F46" s="23" t="s">
        <v>266</v>
      </c>
      <c r="G46" s="188">
        <v>5.2</v>
      </c>
      <c r="H46" s="59">
        <v>39.04</v>
      </c>
      <c r="I46" s="29">
        <f t="shared" si="14"/>
        <v>92024.400000000009</v>
      </c>
      <c r="J46" s="29">
        <f t="shared" si="15"/>
        <v>23006.100000000002</v>
      </c>
      <c r="K46" s="29">
        <f t="shared" si="16"/>
        <v>115030.50000000001</v>
      </c>
      <c r="L46" s="29">
        <f t="shared" si="17"/>
        <v>230061.00000000003</v>
      </c>
      <c r="M46" s="24"/>
      <c r="N46" s="24"/>
      <c r="O46" s="61">
        <v>6</v>
      </c>
      <c r="P46" s="61"/>
      <c r="Q46" s="61">
        <v>6</v>
      </c>
      <c r="R46" s="189">
        <f t="shared" ref="R46" si="26">SUM(M46:Q46)</f>
        <v>12</v>
      </c>
      <c r="S46" s="27">
        <f t="shared" ref="S46" si="27">M46/16*L46</f>
        <v>0</v>
      </c>
      <c r="T46" s="27">
        <f t="shared" ref="T46" si="28">N46/16*L46</f>
        <v>0</v>
      </c>
      <c r="U46" s="27">
        <f t="shared" ref="U46" si="29">O46/16*L46</f>
        <v>86272.875000000015</v>
      </c>
      <c r="V46" s="27">
        <f t="shared" ref="V46" si="30">P46/16*L46</f>
        <v>0</v>
      </c>
      <c r="W46" s="27">
        <f t="shared" ref="W46" si="31">Q46/16*L46</f>
        <v>86272.875000000015</v>
      </c>
      <c r="X46" s="27">
        <f t="shared" ref="X46" si="32">SUM(S46:W46)</f>
        <v>172545.75000000003</v>
      </c>
      <c r="Y46" s="190">
        <f t="shared" ref="Y46" si="33">X46*0.1</f>
        <v>17254.575000000004</v>
      </c>
      <c r="Z46" s="24">
        <f t="shared" ref="Z46" si="34">SUM(N46+P46)</f>
        <v>0</v>
      </c>
      <c r="AA46" s="24">
        <f t="shared" si="9"/>
        <v>0</v>
      </c>
      <c r="AB46" s="24">
        <f t="shared" si="10"/>
        <v>12</v>
      </c>
      <c r="AC46" s="29">
        <f t="shared" ref="AC46" si="35">L46*0.3/16*AB46</f>
        <v>51763.725000000006</v>
      </c>
      <c r="AD46" s="29">
        <f t="shared" si="12"/>
        <v>12</v>
      </c>
      <c r="AE46" s="27">
        <v>35</v>
      </c>
      <c r="AF46" s="29">
        <f t="shared" ref="AF46" si="36">(L46*AE46/100)/16*AD46</f>
        <v>60391.012500000004</v>
      </c>
      <c r="AG46" s="29"/>
      <c r="AH46" s="62">
        <v>8</v>
      </c>
      <c r="AI46" s="63"/>
      <c r="AJ46" s="191">
        <f t="shared" si="23"/>
        <v>3539.4</v>
      </c>
      <c r="AK46" s="191"/>
      <c r="AL46" s="63"/>
      <c r="AM46" s="63"/>
      <c r="AN46" s="24"/>
      <c r="AO46" s="24"/>
      <c r="AP46" s="24"/>
      <c r="AQ46" s="24"/>
      <c r="AR46" s="24"/>
      <c r="AS46" s="24"/>
      <c r="AT46" s="192"/>
      <c r="AU46" s="130"/>
      <c r="AV46" s="191"/>
      <c r="AW46" s="129"/>
      <c r="AX46" s="242">
        <f t="shared" si="25"/>
        <v>305494.46250000008</v>
      </c>
    </row>
    <row r="47" spans="1:50" s="21" customFormat="1" ht="34.5" x14ac:dyDescent="0.2">
      <c r="A47" s="193">
        <v>5</v>
      </c>
      <c r="B47" s="126" t="s">
        <v>83</v>
      </c>
      <c r="C47" s="58" t="s">
        <v>225</v>
      </c>
      <c r="D47" s="58" t="s">
        <v>79</v>
      </c>
      <c r="E47" s="58" t="s">
        <v>167</v>
      </c>
      <c r="F47" s="23" t="s">
        <v>26</v>
      </c>
      <c r="G47" s="243">
        <v>4.7300000000000004</v>
      </c>
      <c r="H47" s="58">
        <v>35.090000000000003</v>
      </c>
      <c r="I47" s="29">
        <f t="shared" si="14"/>
        <v>83706.810000000012</v>
      </c>
      <c r="J47" s="29">
        <f t="shared" si="15"/>
        <v>20926.702500000003</v>
      </c>
      <c r="K47" s="29">
        <f t="shared" si="16"/>
        <v>104633.51250000001</v>
      </c>
      <c r="L47" s="29">
        <f t="shared" si="17"/>
        <v>209267.02500000002</v>
      </c>
      <c r="M47" s="24">
        <v>21</v>
      </c>
      <c r="N47" s="24"/>
      <c r="O47" s="61"/>
      <c r="P47" s="61"/>
      <c r="Q47" s="61"/>
      <c r="R47" s="189">
        <f t="shared" si="18"/>
        <v>21</v>
      </c>
      <c r="S47" s="27">
        <f t="shared" si="5"/>
        <v>274662.97031250002</v>
      </c>
      <c r="T47" s="27">
        <f t="shared" si="6"/>
        <v>0</v>
      </c>
      <c r="U47" s="27">
        <f t="shared" si="7"/>
        <v>0</v>
      </c>
      <c r="V47" s="27">
        <f t="shared" si="8"/>
        <v>0</v>
      </c>
      <c r="W47" s="27">
        <f t="shared" si="19"/>
        <v>0</v>
      </c>
      <c r="X47" s="27">
        <f t="shared" si="20"/>
        <v>274662.97031250002</v>
      </c>
      <c r="Y47" s="190">
        <f t="shared" si="21"/>
        <v>27466.297031250004</v>
      </c>
      <c r="Z47" s="24">
        <f t="shared" si="22"/>
        <v>0</v>
      </c>
      <c r="AA47" s="24">
        <f t="shared" si="9"/>
        <v>0</v>
      </c>
      <c r="AB47" s="24">
        <f t="shared" si="10"/>
        <v>21</v>
      </c>
      <c r="AC47" s="29">
        <f t="shared" si="11"/>
        <v>82398.891093750004</v>
      </c>
      <c r="AD47" s="29">
        <f t="shared" si="12"/>
        <v>21</v>
      </c>
      <c r="AE47" s="27"/>
      <c r="AF47" s="29">
        <f t="shared" si="13"/>
        <v>0</v>
      </c>
      <c r="AG47" s="29"/>
      <c r="AH47" s="62">
        <v>16</v>
      </c>
      <c r="AI47" s="63"/>
      <c r="AJ47" s="191">
        <f t="shared" si="23"/>
        <v>7078.8</v>
      </c>
      <c r="AK47" s="191">
        <f t="shared" si="24"/>
        <v>0</v>
      </c>
      <c r="AL47" s="63">
        <v>1</v>
      </c>
      <c r="AM47" s="63"/>
      <c r="AN47" s="24">
        <f>SUM($I$35*AL47)*0.5</f>
        <v>8848.5</v>
      </c>
      <c r="AO47" s="24">
        <f>SUM($I$35*AM47)*0.6</f>
        <v>0</v>
      </c>
      <c r="AP47" s="24"/>
      <c r="AQ47" s="24"/>
      <c r="AR47" s="24">
        <f>SUM($I$35*AQ47)</f>
        <v>0</v>
      </c>
      <c r="AS47" s="24"/>
      <c r="AT47" s="192">
        <f>SUM($I$35*AS47)</f>
        <v>0</v>
      </c>
      <c r="AU47" s="130"/>
      <c r="AV47" s="191">
        <f>SUM($I$35*AU47)</f>
        <v>0</v>
      </c>
      <c r="AW47" s="129"/>
      <c r="AX47" s="242">
        <f t="shared" si="25"/>
        <v>400455.45843750006</v>
      </c>
    </row>
    <row r="48" spans="1:50" s="21" customFormat="1" ht="34.5" x14ac:dyDescent="0.2">
      <c r="A48" s="241">
        <v>6</v>
      </c>
      <c r="B48" s="22" t="s">
        <v>84</v>
      </c>
      <c r="C48" s="58" t="s">
        <v>267</v>
      </c>
      <c r="D48" s="58" t="s">
        <v>79</v>
      </c>
      <c r="E48" s="58" t="s">
        <v>105</v>
      </c>
      <c r="F48" s="23" t="s">
        <v>24</v>
      </c>
      <c r="G48" s="243">
        <v>5.2</v>
      </c>
      <c r="H48" s="58">
        <v>27.05</v>
      </c>
      <c r="I48" s="29">
        <f t="shared" si="14"/>
        <v>92024.400000000009</v>
      </c>
      <c r="J48" s="29">
        <f t="shared" si="15"/>
        <v>23006.100000000002</v>
      </c>
      <c r="K48" s="29">
        <f t="shared" si="16"/>
        <v>115030.50000000001</v>
      </c>
      <c r="L48" s="29">
        <f t="shared" si="17"/>
        <v>230061.00000000003</v>
      </c>
      <c r="M48" s="61"/>
      <c r="N48" s="61"/>
      <c r="O48" s="61">
        <v>22</v>
      </c>
      <c r="P48" s="61"/>
      <c r="Q48" s="61">
        <v>6</v>
      </c>
      <c r="R48" s="189">
        <f t="shared" si="18"/>
        <v>28</v>
      </c>
      <c r="S48" s="27">
        <f t="shared" si="5"/>
        <v>0</v>
      </c>
      <c r="T48" s="27">
        <f t="shared" si="6"/>
        <v>0</v>
      </c>
      <c r="U48" s="27">
        <f t="shared" si="7"/>
        <v>316333.87500000006</v>
      </c>
      <c r="V48" s="27">
        <f t="shared" si="8"/>
        <v>0</v>
      </c>
      <c r="W48" s="27">
        <f t="shared" si="19"/>
        <v>86272.875000000015</v>
      </c>
      <c r="X48" s="27">
        <f t="shared" si="20"/>
        <v>402606.75000000006</v>
      </c>
      <c r="Y48" s="190">
        <f t="shared" si="21"/>
        <v>40260.67500000001</v>
      </c>
      <c r="Z48" s="24">
        <f t="shared" si="22"/>
        <v>0</v>
      </c>
      <c r="AA48" s="24">
        <f t="shared" si="9"/>
        <v>0</v>
      </c>
      <c r="AB48" s="24">
        <v>28</v>
      </c>
      <c r="AC48" s="29">
        <f t="shared" si="11"/>
        <v>120782.02500000001</v>
      </c>
      <c r="AD48" s="29">
        <f t="shared" si="12"/>
        <v>28</v>
      </c>
      <c r="AE48" s="27">
        <v>35</v>
      </c>
      <c r="AF48" s="29">
        <f t="shared" si="13"/>
        <v>140912.36250000002</v>
      </c>
      <c r="AG48" s="29"/>
      <c r="AH48" s="62">
        <v>11.5</v>
      </c>
      <c r="AI48" s="63"/>
      <c r="AJ48" s="191">
        <f t="shared" si="23"/>
        <v>5087.8874999999998</v>
      </c>
      <c r="AK48" s="191">
        <f t="shared" si="24"/>
        <v>0</v>
      </c>
      <c r="AL48" s="63"/>
      <c r="AM48" s="63">
        <v>0.5</v>
      </c>
      <c r="AN48" s="24">
        <f>SUM($I$35*AL48)*0.5</f>
        <v>0</v>
      </c>
      <c r="AO48" s="24">
        <f>SUM($I$35*AM48)*0.6</f>
        <v>5309.0999999999995</v>
      </c>
      <c r="AP48" s="24"/>
      <c r="AQ48" s="24"/>
      <c r="AR48" s="24">
        <f>SUM($I$35*AQ48)</f>
        <v>0</v>
      </c>
      <c r="AS48" s="24"/>
      <c r="AT48" s="192">
        <f>SUM($I$35*AS48)</f>
        <v>0</v>
      </c>
      <c r="AU48" s="130"/>
      <c r="AV48" s="191">
        <f>SUM($I$35*AU48)</f>
        <v>0</v>
      </c>
      <c r="AW48" s="129"/>
      <c r="AX48" s="242">
        <f t="shared" si="25"/>
        <v>714958.8</v>
      </c>
    </row>
    <row r="49" spans="1:50" s="21" customFormat="1" ht="34.5" x14ac:dyDescent="0.2">
      <c r="A49" s="241">
        <v>7</v>
      </c>
      <c r="B49" s="22" t="s">
        <v>85</v>
      </c>
      <c r="C49" s="58" t="s">
        <v>226</v>
      </c>
      <c r="D49" s="58" t="s">
        <v>79</v>
      </c>
      <c r="E49" s="58" t="s">
        <v>20</v>
      </c>
      <c r="F49" s="23" t="s">
        <v>24</v>
      </c>
      <c r="G49" s="243">
        <v>5.2</v>
      </c>
      <c r="H49" s="58">
        <v>43.04</v>
      </c>
      <c r="I49" s="29">
        <f t="shared" si="14"/>
        <v>92024.400000000009</v>
      </c>
      <c r="J49" s="29">
        <f t="shared" si="15"/>
        <v>23006.100000000002</v>
      </c>
      <c r="K49" s="29">
        <f t="shared" si="16"/>
        <v>115030.50000000001</v>
      </c>
      <c r="L49" s="29">
        <f t="shared" si="17"/>
        <v>230061.00000000003</v>
      </c>
      <c r="M49" s="61">
        <v>16</v>
      </c>
      <c r="N49" s="61"/>
      <c r="O49" s="61"/>
      <c r="P49" s="61"/>
      <c r="Q49" s="61"/>
      <c r="R49" s="189">
        <f t="shared" si="18"/>
        <v>16</v>
      </c>
      <c r="S49" s="27">
        <f t="shared" si="5"/>
        <v>230061.00000000003</v>
      </c>
      <c r="T49" s="27">
        <f t="shared" si="6"/>
        <v>0</v>
      </c>
      <c r="U49" s="27">
        <f t="shared" si="7"/>
        <v>0</v>
      </c>
      <c r="V49" s="27">
        <f t="shared" si="8"/>
        <v>0</v>
      </c>
      <c r="W49" s="27">
        <f t="shared" si="19"/>
        <v>0</v>
      </c>
      <c r="X49" s="27">
        <f t="shared" si="20"/>
        <v>230061.00000000003</v>
      </c>
      <c r="Y49" s="190">
        <f t="shared" si="21"/>
        <v>23006.100000000006</v>
      </c>
      <c r="Z49" s="24">
        <f t="shared" si="22"/>
        <v>0</v>
      </c>
      <c r="AA49" s="24">
        <f t="shared" ref="AA49:AA55" si="37">SUM(($I$35/16)*Z49)*0.4</f>
        <v>0</v>
      </c>
      <c r="AB49" s="24">
        <f t="shared" si="10"/>
        <v>16</v>
      </c>
      <c r="AC49" s="29">
        <f t="shared" si="11"/>
        <v>69018.3</v>
      </c>
      <c r="AD49" s="29">
        <f t="shared" si="12"/>
        <v>16</v>
      </c>
      <c r="AE49" s="27">
        <v>35</v>
      </c>
      <c r="AF49" s="29">
        <f t="shared" si="13"/>
        <v>80521.350000000006</v>
      </c>
      <c r="AG49" s="29"/>
      <c r="AH49" s="62">
        <v>8</v>
      </c>
      <c r="AI49" s="63"/>
      <c r="AJ49" s="191">
        <f t="shared" si="23"/>
        <v>3539.4</v>
      </c>
      <c r="AK49" s="191">
        <f t="shared" si="24"/>
        <v>0</v>
      </c>
      <c r="AL49" s="63">
        <v>0.5</v>
      </c>
      <c r="AM49" s="63"/>
      <c r="AN49" s="24">
        <f>SUM($I$35*AL49)*0.5</f>
        <v>4424.25</v>
      </c>
      <c r="AO49" s="24">
        <f>SUM($I$35*AM49)*0.6</f>
        <v>0</v>
      </c>
      <c r="AP49" s="24"/>
      <c r="AQ49" s="24"/>
      <c r="AR49" s="24">
        <f>SUM($I$35*AQ49)</f>
        <v>0</v>
      </c>
      <c r="AS49" s="24"/>
      <c r="AT49" s="192">
        <f>SUM($I$35*AS49)</f>
        <v>0</v>
      </c>
      <c r="AU49" s="130"/>
      <c r="AV49" s="191">
        <f t="shared" ref="AV49:AV56" si="38">SUM($I$35*AU49)</f>
        <v>0</v>
      </c>
      <c r="AW49" s="129"/>
      <c r="AX49" s="242">
        <f t="shared" si="25"/>
        <v>410570.4</v>
      </c>
    </row>
    <row r="50" spans="1:50" s="21" customFormat="1" ht="34.5" x14ac:dyDescent="0.2">
      <c r="A50" s="193">
        <v>8</v>
      </c>
      <c r="B50" s="126" t="s">
        <v>86</v>
      </c>
      <c r="C50" s="58" t="s">
        <v>170</v>
      </c>
      <c r="D50" s="58" t="s">
        <v>79</v>
      </c>
      <c r="E50" s="58" t="s">
        <v>188</v>
      </c>
      <c r="F50" s="23" t="s">
        <v>24</v>
      </c>
      <c r="G50" s="188">
        <v>5.2</v>
      </c>
      <c r="H50" s="58">
        <v>33.090000000000003</v>
      </c>
      <c r="I50" s="29">
        <f t="shared" si="14"/>
        <v>92024.400000000009</v>
      </c>
      <c r="J50" s="29">
        <f t="shared" si="15"/>
        <v>23006.100000000002</v>
      </c>
      <c r="K50" s="29">
        <f t="shared" si="16"/>
        <v>115030.50000000001</v>
      </c>
      <c r="L50" s="29">
        <f t="shared" si="17"/>
        <v>230061.00000000003</v>
      </c>
      <c r="M50" s="61">
        <v>11</v>
      </c>
      <c r="N50" s="61"/>
      <c r="O50" s="61">
        <v>14</v>
      </c>
      <c r="P50" s="61"/>
      <c r="Q50" s="61">
        <v>6</v>
      </c>
      <c r="R50" s="189">
        <f t="shared" si="18"/>
        <v>31</v>
      </c>
      <c r="S50" s="27">
        <f t="shared" si="5"/>
        <v>158166.93750000003</v>
      </c>
      <c r="T50" s="27">
        <f t="shared" si="6"/>
        <v>0</v>
      </c>
      <c r="U50" s="27">
        <f t="shared" si="7"/>
        <v>201303.37500000003</v>
      </c>
      <c r="V50" s="27">
        <f t="shared" si="8"/>
        <v>0</v>
      </c>
      <c r="W50" s="27">
        <f t="shared" si="19"/>
        <v>86272.875000000015</v>
      </c>
      <c r="X50" s="27">
        <f t="shared" si="20"/>
        <v>445743.18750000006</v>
      </c>
      <c r="Y50" s="190">
        <f t="shared" si="21"/>
        <v>44574.318750000006</v>
      </c>
      <c r="Z50" s="24">
        <f t="shared" si="22"/>
        <v>0</v>
      </c>
      <c r="AA50" s="24">
        <f t="shared" si="37"/>
        <v>0</v>
      </c>
      <c r="AB50" s="24">
        <f t="shared" si="10"/>
        <v>31</v>
      </c>
      <c r="AC50" s="29">
        <f t="shared" si="11"/>
        <v>133722.95625000002</v>
      </c>
      <c r="AD50" s="29">
        <f t="shared" si="12"/>
        <v>31</v>
      </c>
      <c r="AE50" s="27">
        <v>30</v>
      </c>
      <c r="AF50" s="29">
        <f t="shared" ref="AF50:AF80" si="39">(L50*AE50/100)/16*AD50</f>
        <v>133722.95625000002</v>
      </c>
      <c r="AG50" s="29"/>
      <c r="AH50" s="62"/>
      <c r="AI50" s="63"/>
      <c r="AJ50" s="191">
        <f t="shared" si="23"/>
        <v>0</v>
      </c>
      <c r="AK50" s="191">
        <f t="shared" si="24"/>
        <v>0</v>
      </c>
      <c r="AL50" s="63"/>
      <c r="AM50" s="63"/>
      <c r="AN50" s="24">
        <f t="shared" ref="AN50:AN58" si="40">SUM($I$35*AL50)*0.5</f>
        <v>0</v>
      </c>
      <c r="AO50" s="24">
        <f t="shared" ref="AO50:AO58" si="41">SUM($I$35*AM50)*0.6</f>
        <v>0</v>
      </c>
      <c r="AP50" s="24"/>
      <c r="AQ50" s="24">
        <v>10</v>
      </c>
      <c r="AR50" s="24">
        <f>SUM($AQ$35*AQ50)</f>
        <v>36920</v>
      </c>
      <c r="AS50" s="24"/>
      <c r="AT50" s="192">
        <f t="shared" ref="AT50:AT56" si="42">SUM($I$35*AS50)</f>
        <v>0</v>
      </c>
      <c r="AU50" s="130"/>
      <c r="AV50" s="191">
        <f t="shared" si="38"/>
        <v>0</v>
      </c>
      <c r="AW50" s="129"/>
      <c r="AX50" s="242">
        <f t="shared" si="25"/>
        <v>794683.41875000019</v>
      </c>
    </row>
    <row r="51" spans="1:50" s="21" customFormat="1" ht="34.5" x14ac:dyDescent="0.2">
      <c r="A51" s="241">
        <v>9</v>
      </c>
      <c r="B51" s="22" t="s">
        <v>180</v>
      </c>
      <c r="C51" s="58" t="s">
        <v>87</v>
      </c>
      <c r="D51" s="58" t="s">
        <v>79</v>
      </c>
      <c r="E51" s="58" t="s">
        <v>181</v>
      </c>
      <c r="F51" s="23" t="s">
        <v>26</v>
      </c>
      <c r="G51" s="243">
        <v>4.1900000000000004</v>
      </c>
      <c r="H51" s="58">
        <v>2.1</v>
      </c>
      <c r="I51" s="29">
        <f t="shared" si="14"/>
        <v>74150.430000000008</v>
      </c>
      <c r="J51" s="29">
        <f t="shared" si="15"/>
        <v>18537.607500000002</v>
      </c>
      <c r="K51" s="29">
        <f t="shared" si="16"/>
        <v>92688.037500000006</v>
      </c>
      <c r="L51" s="29">
        <f t="shared" si="17"/>
        <v>185376.07500000001</v>
      </c>
      <c r="M51" s="61">
        <v>12</v>
      </c>
      <c r="N51" s="61"/>
      <c r="O51" s="61"/>
      <c r="P51" s="61"/>
      <c r="Q51" s="61"/>
      <c r="R51" s="189">
        <f t="shared" si="18"/>
        <v>12</v>
      </c>
      <c r="S51" s="27">
        <f t="shared" si="5"/>
        <v>139032.05625000002</v>
      </c>
      <c r="T51" s="27">
        <f t="shared" si="6"/>
        <v>0</v>
      </c>
      <c r="U51" s="27">
        <f t="shared" si="7"/>
        <v>0</v>
      </c>
      <c r="V51" s="27">
        <f t="shared" si="8"/>
        <v>0</v>
      </c>
      <c r="W51" s="27">
        <f t="shared" si="19"/>
        <v>0</v>
      </c>
      <c r="X51" s="27">
        <f t="shared" si="20"/>
        <v>139032.05625000002</v>
      </c>
      <c r="Y51" s="190">
        <f t="shared" si="21"/>
        <v>13903.205625000002</v>
      </c>
      <c r="Z51" s="24">
        <f t="shared" si="22"/>
        <v>0</v>
      </c>
      <c r="AA51" s="24">
        <f t="shared" si="37"/>
        <v>0</v>
      </c>
      <c r="AB51" s="24">
        <f t="shared" si="10"/>
        <v>12</v>
      </c>
      <c r="AC51" s="29">
        <f t="shared" si="11"/>
        <v>41709.616875</v>
      </c>
      <c r="AD51" s="29">
        <f t="shared" si="12"/>
        <v>12</v>
      </c>
      <c r="AE51" s="27"/>
      <c r="AF51" s="29">
        <f t="shared" si="39"/>
        <v>0</v>
      </c>
      <c r="AG51" s="29"/>
      <c r="AH51" s="62"/>
      <c r="AI51" s="63">
        <v>6</v>
      </c>
      <c r="AJ51" s="191">
        <f t="shared" si="23"/>
        <v>0</v>
      </c>
      <c r="AK51" s="191">
        <f t="shared" si="24"/>
        <v>3318.1875</v>
      </c>
      <c r="AL51" s="63"/>
      <c r="AM51" s="63">
        <v>1</v>
      </c>
      <c r="AN51" s="24">
        <f t="shared" si="40"/>
        <v>0</v>
      </c>
      <c r="AO51" s="24">
        <f t="shared" si="41"/>
        <v>10618.199999999999</v>
      </c>
      <c r="AP51" s="24"/>
      <c r="AQ51" s="24"/>
      <c r="AR51" s="24">
        <f t="shared" ref="AR51:AR56" si="43">SUM($I$35*AQ51)</f>
        <v>0</v>
      </c>
      <c r="AS51" s="24"/>
      <c r="AT51" s="192">
        <f t="shared" si="42"/>
        <v>0</v>
      </c>
      <c r="AU51" s="130"/>
      <c r="AV51" s="191">
        <f t="shared" si="38"/>
        <v>0</v>
      </c>
      <c r="AW51" s="129"/>
      <c r="AX51" s="242">
        <f t="shared" si="25"/>
        <v>208581.26625000004</v>
      </c>
    </row>
    <row r="52" spans="1:50" s="21" customFormat="1" ht="34.5" x14ac:dyDescent="0.2">
      <c r="A52" s="193">
        <v>10</v>
      </c>
      <c r="B52" s="126" t="s">
        <v>88</v>
      </c>
      <c r="C52" s="58" t="s">
        <v>184</v>
      </c>
      <c r="D52" s="58" t="s">
        <v>79</v>
      </c>
      <c r="E52" s="22" t="s">
        <v>105</v>
      </c>
      <c r="F52" s="23" t="s">
        <v>25</v>
      </c>
      <c r="G52" s="243">
        <v>5.08</v>
      </c>
      <c r="H52" s="59">
        <v>24.09</v>
      </c>
      <c r="I52" s="29">
        <f t="shared" si="14"/>
        <v>89900.76</v>
      </c>
      <c r="J52" s="29">
        <f t="shared" si="15"/>
        <v>22475.19</v>
      </c>
      <c r="K52" s="29">
        <f t="shared" si="16"/>
        <v>112375.95</v>
      </c>
      <c r="L52" s="29">
        <f t="shared" si="17"/>
        <v>224751.9</v>
      </c>
      <c r="M52" s="60">
        <v>16</v>
      </c>
      <c r="N52" s="60"/>
      <c r="O52" s="61"/>
      <c r="P52" s="61"/>
      <c r="Q52" s="61"/>
      <c r="R52" s="189">
        <f t="shared" si="18"/>
        <v>16</v>
      </c>
      <c r="S52" s="27">
        <f t="shared" si="5"/>
        <v>224751.9</v>
      </c>
      <c r="T52" s="27">
        <f t="shared" si="6"/>
        <v>0</v>
      </c>
      <c r="U52" s="27">
        <f t="shared" si="7"/>
        <v>0</v>
      </c>
      <c r="V52" s="27">
        <f t="shared" si="8"/>
        <v>0</v>
      </c>
      <c r="W52" s="27">
        <f t="shared" si="19"/>
        <v>0</v>
      </c>
      <c r="X52" s="27">
        <f t="shared" si="20"/>
        <v>224751.9</v>
      </c>
      <c r="Y52" s="190">
        <f t="shared" si="21"/>
        <v>22475.190000000002</v>
      </c>
      <c r="Z52" s="24">
        <f t="shared" si="22"/>
        <v>0</v>
      </c>
      <c r="AA52" s="24">
        <f t="shared" si="37"/>
        <v>0</v>
      </c>
      <c r="AB52" s="24">
        <f t="shared" si="10"/>
        <v>16</v>
      </c>
      <c r="AC52" s="29">
        <f t="shared" si="11"/>
        <v>67425.569999999992</v>
      </c>
      <c r="AD52" s="29">
        <f t="shared" si="12"/>
        <v>16</v>
      </c>
      <c r="AE52" s="27">
        <v>35</v>
      </c>
      <c r="AF52" s="29">
        <f t="shared" si="39"/>
        <v>78663.164999999994</v>
      </c>
      <c r="AG52" s="29"/>
      <c r="AH52" s="62">
        <v>8</v>
      </c>
      <c r="AI52" s="63"/>
      <c r="AJ52" s="191">
        <f t="shared" si="23"/>
        <v>3539.4</v>
      </c>
      <c r="AK52" s="191">
        <f t="shared" si="24"/>
        <v>0</v>
      </c>
      <c r="AL52" s="63">
        <v>0.5</v>
      </c>
      <c r="AM52" s="63"/>
      <c r="AN52" s="24">
        <f t="shared" si="40"/>
        <v>4424.25</v>
      </c>
      <c r="AO52" s="24">
        <f t="shared" si="41"/>
        <v>0</v>
      </c>
      <c r="AP52" s="24"/>
      <c r="AQ52" s="24"/>
      <c r="AR52" s="24">
        <f t="shared" si="43"/>
        <v>0</v>
      </c>
      <c r="AS52" s="24"/>
      <c r="AT52" s="192">
        <f t="shared" si="42"/>
        <v>0</v>
      </c>
      <c r="AU52" s="130"/>
      <c r="AV52" s="191">
        <f t="shared" si="38"/>
        <v>0</v>
      </c>
      <c r="AW52" s="129"/>
      <c r="AX52" s="242">
        <f t="shared" si="25"/>
        <v>401279.47499999998</v>
      </c>
    </row>
    <row r="53" spans="1:50" s="21" customFormat="1" ht="41.25" customHeight="1" x14ac:dyDescent="0.2">
      <c r="A53" s="193">
        <v>11</v>
      </c>
      <c r="B53" s="126" t="s">
        <v>227</v>
      </c>
      <c r="C53" s="58" t="s">
        <v>228</v>
      </c>
      <c r="D53" s="58" t="s">
        <v>79</v>
      </c>
      <c r="E53" s="22" t="s">
        <v>105</v>
      </c>
      <c r="F53" s="23" t="s">
        <v>26</v>
      </c>
      <c r="G53" s="188">
        <v>4.59</v>
      </c>
      <c r="H53" s="59">
        <v>16</v>
      </c>
      <c r="I53" s="29">
        <f t="shared" si="14"/>
        <v>81229.23</v>
      </c>
      <c r="J53" s="29">
        <f t="shared" si="15"/>
        <v>20307.307499999999</v>
      </c>
      <c r="K53" s="29">
        <f t="shared" si="16"/>
        <v>101536.53749999999</v>
      </c>
      <c r="L53" s="29">
        <f t="shared" si="17"/>
        <v>203073.07499999998</v>
      </c>
      <c r="M53" s="61"/>
      <c r="N53" s="61"/>
      <c r="O53" s="61">
        <v>18</v>
      </c>
      <c r="P53" s="61"/>
      <c r="Q53" s="61">
        <v>6</v>
      </c>
      <c r="R53" s="189">
        <f t="shared" si="18"/>
        <v>24</v>
      </c>
      <c r="S53" s="27">
        <f t="shared" si="5"/>
        <v>0</v>
      </c>
      <c r="T53" s="27">
        <f t="shared" si="6"/>
        <v>0</v>
      </c>
      <c r="U53" s="27">
        <f t="shared" si="7"/>
        <v>228457.20937499998</v>
      </c>
      <c r="V53" s="27">
        <f t="shared" si="8"/>
        <v>0</v>
      </c>
      <c r="W53" s="27">
        <f t="shared" si="19"/>
        <v>76152.403124999997</v>
      </c>
      <c r="X53" s="27">
        <f t="shared" si="20"/>
        <v>304609.61249999999</v>
      </c>
      <c r="Y53" s="190">
        <f t="shared" si="21"/>
        <v>30460.96125</v>
      </c>
      <c r="Z53" s="24">
        <f t="shared" si="22"/>
        <v>0</v>
      </c>
      <c r="AA53" s="24">
        <f t="shared" si="37"/>
        <v>0</v>
      </c>
      <c r="AB53" s="24">
        <f t="shared" si="10"/>
        <v>24</v>
      </c>
      <c r="AC53" s="29">
        <f t="shared" si="11"/>
        <v>91382.883749999994</v>
      </c>
      <c r="AD53" s="29">
        <f t="shared" si="12"/>
        <v>24</v>
      </c>
      <c r="AE53" s="27">
        <v>35</v>
      </c>
      <c r="AF53" s="29">
        <f t="shared" si="39"/>
        <v>106613.36437499998</v>
      </c>
      <c r="AG53" s="29"/>
      <c r="AH53" s="62"/>
      <c r="AI53" s="63"/>
      <c r="AJ53" s="191">
        <f t="shared" si="23"/>
        <v>0</v>
      </c>
      <c r="AK53" s="191">
        <f t="shared" si="24"/>
        <v>0</v>
      </c>
      <c r="AL53" s="63"/>
      <c r="AM53" s="63">
        <v>0.5</v>
      </c>
      <c r="AN53" s="24">
        <f t="shared" si="40"/>
        <v>0</v>
      </c>
      <c r="AO53" s="24">
        <f t="shared" si="41"/>
        <v>5309.0999999999995</v>
      </c>
      <c r="AP53" s="24"/>
      <c r="AQ53" s="24"/>
      <c r="AR53" s="24">
        <f t="shared" si="43"/>
        <v>0</v>
      </c>
      <c r="AS53" s="24"/>
      <c r="AT53" s="192">
        <f t="shared" si="42"/>
        <v>0</v>
      </c>
      <c r="AU53" s="130"/>
      <c r="AV53" s="191">
        <f t="shared" si="38"/>
        <v>0</v>
      </c>
      <c r="AW53" s="129"/>
      <c r="AX53" s="242">
        <f t="shared" si="25"/>
        <v>538375.92187499988</v>
      </c>
    </row>
    <row r="54" spans="1:50" s="21" customFormat="1" ht="34.5" x14ac:dyDescent="0.2">
      <c r="A54" s="187">
        <v>12</v>
      </c>
      <c r="B54" s="126" t="s">
        <v>268</v>
      </c>
      <c r="C54" s="58" t="s">
        <v>22</v>
      </c>
      <c r="D54" s="58" t="s">
        <v>79</v>
      </c>
      <c r="E54" s="22" t="s">
        <v>110</v>
      </c>
      <c r="F54" s="23" t="s">
        <v>26</v>
      </c>
      <c r="G54" s="188">
        <v>4.38</v>
      </c>
      <c r="H54" s="59">
        <v>12.01</v>
      </c>
      <c r="I54" s="29">
        <f t="shared" si="14"/>
        <v>77512.86</v>
      </c>
      <c r="J54" s="29">
        <f t="shared" si="15"/>
        <v>19378.215</v>
      </c>
      <c r="K54" s="29">
        <f t="shared" si="16"/>
        <v>96891.074999999997</v>
      </c>
      <c r="L54" s="29">
        <f t="shared" si="17"/>
        <v>193782.15</v>
      </c>
      <c r="M54" s="61"/>
      <c r="N54" s="61"/>
      <c r="O54" s="61">
        <v>10</v>
      </c>
      <c r="P54" s="61"/>
      <c r="Q54" s="61"/>
      <c r="R54" s="189">
        <f t="shared" si="18"/>
        <v>10</v>
      </c>
      <c r="S54" s="27">
        <f t="shared" si="5"/>
        <v>0</v>
      </c>
      <c r="T54" s="27">
        <f t="shared" si="6"/>
        <v>0</v>
      </c>
      <c r="U54" s="27">
        <f t="shared" ref="U54" si="44">O54/16*L54</f>
        <v>121113.84375</v>
      </c>
      <c r="V54" s="27">
        <f t="shared" ref="V54" si="45">P54/16*L54</f>
        <v>0</v>
      </c>
      <c r="W54" s="27">
        <f t="shared" ref="W54" si="46">Q54/16*L54</f>
        <v>0</v>
      </c>
      <c r="X54" s="27">
        <f t="shared" ref="X54" si="47">SUM(S54:W54)</f>
        <v>121113.84375</v>
      </c>
      <c r="Y54" s="190">
        <f t="shared" ref="Y54" si="48">X54*0.1</f>
        <v>12111.384375000001</v>
      </c>
      <c r="Z54" s="24">
        <f t="shared" ref="Z54" si="49">SUM(N54+P54)</f>
        <v>0</v>
      </c>
      <c r="AA54" s="24">
        <f t="shared" ref="AA54" si="50">SUM(($I$35/16)*Z54)*0.4</f>
        <v>0</v>
      </c>
      <c r="AB54" s="24">
        <f t="shared" si="10"/>
        <v>10</v>
      </c>
      <c r="AC54" s="29">
        <f t="shared" ref="AC54" si="51">L54*0.3/16*AB54</f>
        <v>36334.153124999997</v>
      </c>
      <c r="AD54" s="29">
        <f t="shared" si="12"/>
        <v>10</v>
      </c>
      <c r="AE54" s="27">
        <v>30</v>
      </c>
      <c r="AF54" s="29">
        <f t="shared" ref="AF54" si="52">(L54*AE54/100)/16*AD54</f>
        <v>36334.153124999997</v>
      </c>
      <c r="AG54" s="29"/>
      <c r="AH54" s="62"/>
      <c r="AI54" s="63"/>
      <c r="AJ54" s="191">
        <f t="shared" ref="AJ54" si="53">SUM(17697/16*0.4*AH54)</f>
        <v>0</v>
      </c>
      <c r="AK54" s="191">
        <f t="shared" ref="AK54" si="54">SUM(17697/16*0.5*AI54)</f>
        <v>0</v>
      </c>
      <c r="AL54" s="63"/>
      <c r="AM54" s="63"/>
      <c r="AN54" s="24">
        <f t="shared" ref="AN54" si="55">SUM($I$35*AL54)*0.5</f>
        <v>0</v>
      </c>
      <c r="AO54" s="24">
        <f t="shared" ref="AO54" si="56">SUM($I$35*AM54)*0.6</f>
        <v>0</v>
      </c>
      <c r="AP54" s="24"/>
      <c r="AQ54" s="24"/>
      <c r="AR54" s="24">
        <f t="shared" ref="AR54" si="57">SUM($I$35*AQ54)</f>
        <v>0</v>
      </c>
      <c r="AS54" s="24"/>
      <c r="AT54" s="192">
        <f t="shared" ref="AT54" si="58">SUM($I$35*AS54)</f>
        <v>0</v>
      </c>
      <c r="AU54" s="130"/>
      <c r="AV54" s="191">
        <f t="shared" ref="AV54" si="59">SUM($I$35*AU54)</f>
        <v>0</v>
      </c>
      <c r="AW54" s="129"/>
      <c r="AX54" s="242">
        <f t="shared" si="25"/>
        <v>205893.53437499999</v>
      </c>
    </row>
    <row r="55" spans="1:50" s="21" customFormat="1" ht="34.5" x14ac:dyDescent="0.2">
      <c r="A55" s="241">
        <v>13</v>
      </c>
      <c r="B55" s="126" t="s">
        <v>89</v>
      </c>
      <c r="C55" s="58" t="s">
        <v>171</v>
      </c>
      <c r="D55" s="58" t="s">
        <v>79</v>
      </c>
      <c r="E55" s="22" t="s">
        <v>167</v>
      </c>
      <c r="F55" s="23" t="s">
        <v>26</v>
      </c>
      <c r="G55" s="243">
        <v>4.49</v>
      </c>
      <c r="H55" s="59">
        <v>15.04</v>
      </c>
      <c r="I55" s="29">
        <f t="shared" si="14"/>
        <v>79459.53</v>
      </c>
      <c r="J55" s="29">
        <f t="shared" si="15"/>
        <v>19864.8825</v>
      </c>
      <c r="K55" s="29">
        <f t="shared" si="16"/>
        <v>99324.412500000006</v>
      </c>
      <c r="L55" s="29">
        <f t="shared" si="17"/>
        <v>198648.82500000001</v>
      </c>
      <c r="M55" s="61"/>
      <c r="N55" s="61"/>
      <c r="O55" s="61">
        <v>8</v>
      </c>
      <c r="P55" s="61"/>
      <c r="Q55" s="61"/>
      <c r="R55" s="189">
        <f t="shared" si="18"/>
        <v>8</v>
      </c>
      <c r="S55" s="27">
        <f t="shared" si="5"/>
        <v>0</v>
      </c>
      <c r="T55" s="27">
        <f t="shared" si="6"/>
        <v>0</v>
      </c>
      <c r="U55" s="27">
        <f t="shared" si="7"/>
        <v>99324.412500000006</v>
      </c>
      <c r="V55" s="27">
        <f t="shared" si="8"/>
        <v>0</v>
      </c>
      <c r="W55" s="27">
        <f t="shared" si="19"/>
        <v>0</v>
      </c>
      <c r="X55" s="27">
        <f t="shared" si="20"/>
        <v>99324.412500000006</v>
      </c>
      <c r="Y55" s="190">
        <f t="shared" si="21"/>
        <v>9932.4412500000017</v>
      </c>
      <c r="Z55" s="24">
        <f t="shared" si="22"/>
        <v>0</v>
      </c>
      <c r="AA55" s="24">
        <f t="shared" si="37"/>
        <v>0</v>
      </c>
      <c r="AB55" s="24">
        <f t="shared" si="10"/>
        <v>8</v>
      </c>
      <c r="AC55" s="29">
        <f t="shared" si="11"/>
        <v>29797.32375</v>
      </c>
      <c r="AD55" s="29">
        <f t="shared" si="12"/>
        <v>8</v>
      </c>
      <c r="AE55" s="27"/>
      <c r="AF55" s="29">
        <f t="shared" si="39"/>
        <v>0</v>
      </c>
      <c r="AG55" s="29"/>
      <c r="AH55" s="62"/>
      <c r="AI55" s="63"/>
      <c r="AJ55" s="191">
        <f t="shared" si="23"/>
        <v>0</v>
      </c>
      <c r="AK55" s="191">
        <f t="shared" si="24"/>
        <v>0</v>
      </c>
      <c r="AL55" s="63"/>
      <c r="AM55" s="63"/>
      <c r="AN55" s="24">
        <f t="shared" si="40"/>
        <v>0</v>
      </c>
      <c r="AO55" s="24">
        <f t="shared" si="41"/>
        <v>0</v>
      </c>
      <c r="AP55" s="24"/>
      <c r="AQ55" s="24"/>
      <c r="AR55" s="24">
        <f t="shared" si="43"/>
        <v>0</v>
      </c>
      <c r="AS55" s="24"/>
      <c r="AT55" s="192">
        <f t="shared" si="42"/>
        <v>0</v>
      </c>
      <c r="AU55" s="130"/>
      <c r="AV55" s="191">
        <f t="shared" si="38"/>
        <v>0</v>
      </c>
      <c r="AW55" s="129"/>
      <c r="AX55" s="242">
        <f t="shared" si="25"/>
        <v>139054.17750000002</v>
      </c>
    </row>
    <row r="56" spans="1:50" s="21" customFormat="1" ht="34.5" x14ac:dyDescent="0.2">
      <c r="A56" s="241">
        <v>14</v>
      </c>
      <c r="B56" s="22" t="s">
        <v>90</v>
      </c>
      <c r="C56" s="58" t="s">
        <v>91</v>
      </c>
      <c r="D56" s="58" t="s">
        <v>79</v>
      </c>
      <c r="E56" s="22" t="s">
        <v>110</v>
      </c>
      <c r="F56" s="23" t="s">
        <v>26</v>
      </c>
      <c r="G56" s="243">
        <v>4.59</v>
      </c>
      <c r="H56" s="58">
        <v>19</v>
      </c>
      <c r="I56" s="29">
        <f t="shared" si="14"/>
        <v>81229.23</v>
      </c>
      <c r="J56" s="29">
        <f t="shared" si="15"/>
        <v>20307.307499999999</v>
      </c>
      <c r="K56" s="29">
        <f t="shared" si="16"/>
        <v>101536.53749999999</v>
      </c>
      <c r="L56" s="29">
        <f t="shared" si="17"/>
        <v>203073.07499999998</v>
      </c>
      <c r="M56" s="61"/>
      <c r="N56" s="61"/>
      <c r="O56" s="61">
        <v>21</v>
      </c>
      <c r="P56" s="61"/>
      <c r="Q56" s="61">
        <v>3</v>
      </c>
      <c r="R56" s="189">
        <f t="shared" si="18"/>
        <v>24</v>
      </c>
      <c r="S56" s="27">
        <f t="shared" ref="S56:S80" si="60">M56/16*L56</f>
        <v>0</v>
      </c>
      <c r="T56" s="27">
        <f t="shared" si="6"/>
        <v>0</v>
      </c>
      <c r="U56" s="27">
        <f t="shared" si="7"/>
        <v>266533.41093749995</v>
      </c>
      <c r="V56" s="27">
        <f t="shared" si="8"/>
        <v>0</v>
      </c>
      <c r="W56" s="27">
        <f t="shared" si="19"/>
        <v>38076.201562499999</v>
      </c>
      <c r="X56" s="27">
        <f t="shared" si="20"/>
        <v>304609.61249999993</v>
      </c>
      <c r="Y56" s="190">
        <f t="shared" si="21"/>
        <v>30460.961249999993</v>
      </c>
      <c r="Z56" s="24">
        <f t="shared" si="22"/>
        <v>0</v>
      </c>
      <c r="AA56" s="24">
        <f>SUM(($I$35/16)*Z56)*0.4</f>
        <v>0</v>
      </c>
      <c r="AB56" s="24">
        <f t="shared" si="10"/>
        <v>24</v>
      </c>
      <c r="AC56" s="29">
        <f t="shared" si="11"/>
        <v>91382.883749999994</v>
      </c>
      <c r="AD56" s="29">
        <f t="shared" si="12"/>
        <v>24</v>
      </c>
      <c r="AE56" s="27">
        <v>30</v>
      </c>
      <c r="AF56" s="29">
        <f t="shared" si="39"/>
        <v>91382.883749999994</v>
      </c>
      <c r="AG56" s="29"/>
      <c r="AH56" s="62"/>
      <c r="AI56" s="63">
        <v>12</v>
      </c>
      <c r="AJ56" s="191">
        <f t="shared" si="23"/>
        <v>0</v>
      </c>
      <c r="AK56" s="191">
        <f t="shared" si="24"/>
        <v>6636.375</v>
      </c>
      <c r="AL56" s="63"/>
      <c r="AM56" s="63">
        <v>0.5</v>
      </c>
      <c r="AN56" s="24">
        <f t="shared" si="40"/>
        <v>0</v>
      </c>
      <c r="AO56" s="24">
        <f t="shared" si="41"/>
        <v>5309.0999999999995</v>
      </c>
      <c r="AP56" s="24"/>
      <c r="AQ56" s="24"/>
      <c r="AR56" s="24">
        <f t="shared" si="43"/>
        <v>0</v>
      </c>
      <c r="AS56" s="24"/>
      <c r="AT56" s="192">
        <f t="shared" si="42"/>
        <v>0</v>
      </c>
      <c r="AU56" s="130"/>
      <c r="AV56" s="191">
        <f t="shared" si="38"/>
        <v>0</v>
      </c>
      <c r="AW56" s="129"/>
      <c r="AX56" s="242">
        <f t="shared" si="25"/>
        <v>529781.8162499998</v>
      </c>
    </row>
    <row r="57" spans="1:50" s="21" customFormat="1" ht="34.5" x14ac:dyDescent="0.2">
      <c r="A57" s="241">
        <v>15</v>
      </c>
      <c r="B57" s="22" t="s">
        <v>269</v>
      </c>
      <c r="C57" s="58" t="s">
        <v>91</v>
      </c>
      <c r="D57" s="58" t="s">
        <v>79</v>
      </c>
      <c r="E57" s="22" t="s">
        <v>110</v>
      </c>
      <c r="F57" s="23" t="s">
        <v>26</v>
      </c>
      <c r="G57" s="243">
        <v>4.2699999999999996</v>
      </c>
      <c r="H57" s="58">
        <v>6.04</v>
      </c>
      <c r="I57" s="29">
        <f t="shared" si="14"/>
        <v>75566.189999999988</v>
      </c>
      <c r="J57" s="29">
        <f t="shared" si="15"/>
        <v>18891.547499999997</v>
      </c>
      <c r="K57" s="29">
        <f t="shared" si="16"/>
        <v>94457.737499999988</v>
      </c>
      <c r="L57" s="29">
        <f t="shared" si="17"/>
        <v>188915.47499999998</v>
      </c>
      <c r="M57" s="61"/>
      <c r="N57" s="61"/>
      <c r="O57" s="61">
        <v>18</v>
      </c>
      <c r="P57" s="61"/>
      <c r="Q57" s="61">
        <v>6</v>
      </c>
      <c r="R57" s="189">
        <f t="shared" ref="R57" si="61">SUM(M57:Q57)</f>
        <v>24</v>
      </c>
      <c r="S57" s="27">
        <f t="shared" ref="S57" si="62">M57/16*L57</f>
        <v>0</v>
      </c>
      <c r="T57" s="27">
        <f t="shared" ref="T57" si="63">N57/16*L57</f>
        <v>0</v>
      </c>
      <c r="U57" s="27">
        <f t="shared" si="7"/>
        <v>212529.90937499999</v>
      </c>
      <c r="V57" s="27">
        <f t="shared" si="8"/>
        <v>0</v>
      </c>
      <c r="W57" s="27">
        <f t="shared" si="19"/>
        <v>70843.303124999991</v>
      </c>
      <c r="X57" s="27">
        <f t="shared" ref="X57" si="64">SUM(S57:W57)</f>
        <v>283373.21249999997</v>
      </c>
      <c r="Y57" s="190">
        <f t="shared" ref="Y57" si="65">X57*0.1</f>
        <v>28337.321249999997</v>
      </c>
      <c r="Z57" s="24"/>
      <c r="AA57" s="24"/>
      <c r="AB57" s="24">
        <f t="shared" si="10"/>
        <v>24</v>
      </c>
      <c r="AC57" s="29">
        <f t="shared" ref="AC57" si="66">L57*0.3/16*AB57</f>
        <v>85011.963749999995</v>
      </c>
      <c r="AD57" s="29">
        <f t="shared" si="12"/>
        <v>24</v>
      </c>
      <c r="AE57" s="27">
        <v>30</v>
      </c>
      <c r="AF57" s="29">
        <f t="shared" si="39"/>
        <v>85011.963749999981</v>
      </c>
      <c r="AG57" s="29"/>
      <c r="AH57" s="62"/>
      <c r="AI57" s="63">
        <v>13</v>
      </c>
      <c r="AJ57" s="191">
        <f t="shared" ref="AJ57" si="67">SUM(17697/16*0.4*AH57)</f>
        <v>0</v>
      </c>
      <c r="AK57" s="191">
        <f t="shared" ref="AK57" si="68">SUM(17697/16*0.5*AI57)</f>
        <v>7189.40625</v>
      </c>
      <c r="AL57" s="63"/>
      <c r="AM57" s="63">
        <v>0.5</v>
      </c>
      <c r="AN57" s="24">
        <f t="shared" ref="AN57" si="69">SUM($I$35*AL57)*0.5</f>
        <v>0</v>
      </c>
      <c r="AO57" s="24">
        <f t="shared" ref="AO57" si="70">SUM($I$35*AM57)*0.6</f>
        <v>5309.0999999999995</v>
      </c>
      <c r="AP57" s="24"/>
      <c r="AQ57" s="24"/>
      <c r="AR57" s="24">
        <f t="shared" ref="AR57" si="71">SUM($I$35*AQ57)</f>
        <v>0</v>
      </c>
      <c r="AS57" s="24"/>
      <c r="AT57" s="192">
        <f t="shared" ref="AT57" si="72">SUM($I$35*AS57)</f>
        <v>0</v>
      </c>
      <c r="AU57" s="130"/>
      <c r="AV57" s="191">
        <f t="shared" ref="AV57" si="73">SUM($I$35*AU57)</f>
        <v>0</v>
      </c>
      <c r="AW57" s="129"/>
      <c r="AX57" s="242">
        <f t="shared" si="25"/>
        <v>494232.96749999991</v>
      </c>
    </row>
    <row r="58" spans="1:50" s="21" customFormat="1" ht="34.5" x14ac:dyDescent="0.2">
      <c r="A58" s="193">
        <v>16</v>
      </c>
      <c r="B58" s="126" t="s">
        <v>270</v>
      </c>
      <c r="C58" s="58" t="s">
        <v>87</v>
      </c>
      <c r="D58" s="58" t="s">
        <v>79</v>
      </c>
      <c r="E58" s="22" t="s">
        <v>107</v>
      </c>
      <c r="F58" s="23" t="s">
        <v>24</v>
      </c>
      <c r="G58" s="243">
        <v>5.03</v>
      </c>
      <c r="H58" s="58">
        <v>16.04</v>
      </c>
      <c r="I58" s="29">
        <f t="shared" si="14"/>
        <v>89015.91</v>
      </c>
      <c r="J58" s="29">
        <f t="shared" si="15"/>
        <v>22253.977500000001</v>
      </c>
      <c r="K58" s="29">
        <f t="shared" si="16"/>
        <v>111269.88750000001</v>
      </c>
      <c r="L58" s="29">
        <f t="shared" si="17"/>
        <v>222539.77500000002</v>
      </c>
      <c r="M58" s="61"/>
      <c r="N58" s="61"/>
      <c r="O58" s="61">
        <v>20</v>
      </c>
      <c r="P58" s="61">
        <v>2</v>
      </c>
      <c r="Q58" s="61">
        <v>8</v>
      </c>
      <c r="R58" s="189">
        <f t="shared" si="18"/>
        <v>30</v>
      </c>
      <c r="S58" s="27">
        <f t="shared" si="60"/>
        <v>0</v>
      </c>
      <c r="T58" s="27">
        <f t="shared" si="6"/>
        <v>0</v>
      </c>
      <c r="U58" s="27">
        <f t="shared" si="7"/>
        <v>278174.71875</v>
      </c>
      <c r="V58" s="27">
        <f t="shared" si="8"/>
        <v>27817.471875000003</v>
      </c>
      <c r="W58" s="27">
        <f t="shared" si="19"/>
        <v>111269.88750000001</v>
      </c>
      <c r="X58" s="27">
        <f t="shared" si="20"/>
        <v>417262.078125</v>
      </c>
      <c r="Y58" s="190">
        <f t="shared" si="21"/>
        <v>41726.207812500004</v>
      </c>
      <c r="Z58" s="24">
        <f t="shared" si="22"/>
        <v>2</v>
      </c>
      <c r="AA58" s="24">
        <f>SUM(($I$35/16)*Z58)*0.4</f>
        <v>884.85</v>
      </c>
      <c r="AB58" s="24">
        <f t="shared" si="10"/>
        <v>30</v>
      </c>
      <c r="AC58" s="29">
        <f t="shared" si="11"/>
        <v>125178.62343750002</v>
      </c>
      <c r="AD58" s="29">
        <f t="shared" si="12"/>
        <v>30</v>
      </c>
      <c r="AE58" s="27">
        <v>35</v>
      </c>
      <c r="AF58" s="29">
        <f t="shared" si="39"/>
        <v>146041.72734375001</v>
      </c>
      <c r="AG58" s="29"/>
      <c r="AH58" s="62"/>
      <c r="AI58" s="63">
        <v>18</v>
      </c>
      <c r="AJ58" s="191">
        <f t="shared" si="23"/>
        <v>0</v>
      </c>
      <c r="AK58" s="191">
        <f t="shared" si="24"/>
        <v>9954.5625</v>
      </c>
      <c r="AL58" s="63"/>
      <c r="AM58" s="63"/>
      <c r="AN58" s="24">
        <f t="shared" si="40"/>
        <v>0</v>
      </c>
      <c r="AO58" s="24">
        <f t="shared" si="41"/>
        <v>0</v>
      </c>
      <c r="AP58" s="24"/>
      <c r="AQ58" s="24"/>
      <c r="AR58" s="24">
        <f>SUM($I$35*AQ58)</f>
        <v>0</v>
      </c>
      <c r="AS58" s="24"/>
      <c r="AT58" s="192">
        <f>SUM($I$35*AS58)</f>
        <v>0</v>
      </c>
      <c r="AU58" s="130"/>
      <c r="AV58" s="191">
        <f>SUM($I$35*AU58)</f>
        <v>0</v>
      </c>
      <c r="AW58" s="129"/>
      <c r="AX58" s="242">
        <f t="shared" si="25"/>
        <v>741048.04921875009</v>
      </c>
    </row>
    <row r="59" spans="1:50" s="21" customFormat="1" ht="34.5" x14ac:dyDescent="0.2">
      <c r="A59" s="193">
        <v>17</v>
      </c>
      <c r="B59" s="126" t="s">
        <v>271</v>
      </c>
      <c r="C59" s="58" t="s">
        <v>91</v>
      </c>
      <c r="D59" s="58" t="s">
        <v>10</v>
      </c>
      <c r="E59" s="22" t="s">
        <v>181</v>
      </c>
      <c r="F59" s="23" t="s">
        <v>26</v>
      </c>
      <c r="G59" s="243">
        <v>4.2699999999999996</v>
      </c>
      <c r="H59" s="58">
        <v>5.04</v>
      </c>
      <c r="I59" s="29">
        <f t="shared" si="14"/>
        <v>75566.189999999988</v>
      </c>
      <c r="J59" s="29">
        <f t="shared" si="15"/>
        <v>18891.547499999997</v>
      </c>
      <c r="K59" s="29">
        <f t="shared" si="16"/>
        <v>94457.737499999988</v>
      </c>
      <c r="L59" s="29">
        <f t="shared" si="17"/>
        <v>188915.47499999998</v>
      </c>
      <c r="M59" s="61">
        <v>12</v>
      </c>
      <c r="N59" s="61"/>
      <c r="O59" s="61">
        <v>3</v>
      </c>
      <c r="P59" s="61">
        <v>1</v>
      </c>
      <c r="Q59" s="61"/>
      <c r="R59" s="189">
        <f t="shared" si="18"/>
        <v>16</v>
      </c>
      <c r="S59" s="27">
        <f t="shared" si="60"/>
        <v>141686.60624999998</v>
      </c>
      <c r="T59" s="27">
        <f t="shared" si="6"/>
        <v>0</v>
      </c>
      <c r="U59" s="27">
        <f t="shared" si="7"/>
        <v>35421.651562499996</v>
      </c>
      <c r="V59" s="27">
        <f t="shared" si="8"/>
        <v>11807.217187499999</v>
      </c>
      <c r="W59" s="27">
        <f t="shared" si="19"/>
        <v>0</v>
      </c>
      <c r="X59" s="27">
        <f t="shared" ref="X59" si="74">SUM(S59:W59)</f>
        <v>188915.47499999998</v>
      </c>
      <c r="Y59" s="190">
        <f t="shared" ref="Y59" si="75">X59*0.1</f>
        <v>18891.547499999997</v>
      </c>
      <c r="Z59" s="24">
        <v>1</v>
      </c>
      <c r="AA59" s="24">
        <f t="shared" ref="AA59" si="76">SUM(($I$35/16)*Z59)*0.4</f>
        <v>442.42500000000001</v>
      </c>
      <c r="AB59" s="24">
        <f t="shared" si="10"/>
        <v>16</v>
      </c>
      <c r="AC59" s="29">
        <f t="shared" ref="AC59" si="77">L59*0.3/16*AB59</f>
        <v>56674.642499999994</v>
      </c>
      <c r="AD59" s="29">
        <f t="shared" si="12"/>
        <v>16</v>
      </c>
      <c r="AE59" s="27"/>
      <c r="AF59" s="29">
        <f t="shared" si="39"/>
        <v>0</v>
      </c>
      <c r="AG59" s="29"/>
      <c r="AH59" s="62"/>
      <c r="AI59" s="63">
        <v>7.5</v>
      </c>
      <c r="AJ59" s="191"/>
      <c r="AK59" s="191">
        <f t="shared" si="24"/>
        <v>4147.734375</v>
      </c>
      <c r="AL59" s="63"/>
      <c r="AM59" s="63"/>
      <c r="AN59" s="24"/>
      <c r="AO59" s="24"/>
      <c r="AP59" s="24"/>
      <c r="AQ59" s="24"/>
      <c r="AR59" s="24"/>
      <c r="AS59" s="24"/>
      <c r="AT59" s="192"/>
      <c r="AU59" s="130"/>
      <c r="AV59" s="191">
        <f>SUM($I$35*AU59)</f>
        <v>0</v>
      </c>
      <c r="AW59" s="129"/>
      <c r="AX59" s="242">
        <f t="shared" si="25"/>
        <v>269071.82437499997</v>
      </c>
    </row>
    <row r="60" spans="1:50" s="21" customFormat="1" ht="34.5" x14ac:dyDescent="0.2">
      <c r="A60" s="193">
        <v>18</v>
      </c>
      <c r="B60" s="244" t="s">
        <v>108</v>
      </c>
      <c r="C60" s="58" t="s">
        <v>19</v>
      </c>
      <c r="D60" s="58" t="s">
        <v>79</v>
      </c>
      <c r="E60" s="22" t="s">
        <v>21</v>
      </c>
      <c r="F60" s="23" t="s">
        <v>26</v>
      </c>
      <c r="G60" s="188">
        <v>4.33</v>
      </c>
      <c r="H60" s="59">
        <v>7.02</v>
      </c>
      <c r="I60" s="29">
        <f t="shared" si="14"/>
        <v>76628.009999999995</v>
      </c>
      <c r="J60" s="29">
        <f t="shared" si="15"/>
        <v>19157.002499999999</v>
      </c>
      <c r="K60" s="29">
        <f t="shared" si="16"/>
        <v>95785.012499999997</v>
      </c>
      <c r="L60" s="29">
        <f t="shared" si="17"/>
        <v>191570.02499999999</v>
      </c>
      <c r="M60" s="61">
        <v>3</v>
      </c>
      <c r="N60" s="61"/>
      <c r="O60" s="61">
        <v>15</v>
      </c>
      <c r="P60" s="61"/>
      <c r="Q60" s="61">
        <v>6</v>
      </c>
      <c r="R60" s="189">
        <f t="shared" si="18"/>
        <v>24</v>
      </c>
      <c r="S60" s="27">
        <f t="shared" si="60"/>
        <v>35919.379687499997</v>
      </c>
      <c r="T60" s="27">
        <f t="shared" si="6"/>
        <v>0</v>
      </c>
      <c r="U60" s="27">
        <f t="shared" si="7"/>
        <v>179596.8984375</v>
      </c>
      <c r="V60" s="27">
        <f t="shared" si="8"/>
        <v>0</v>
      </c>
      <c r="W60" s="27">
        <f t="shared" si="19"/>
        <v>71838.759374999994</v>
      </c>
      <c r="X60" s="27">
        <f t="shared" si="20"/>
        <v>287355.03749999998</v>
      </c>
      <c r="Y60" s="190">
        <f t="shared" si="21"/>
        <v>28735.50375</v>
      </c>
      <c r="Z60" s="24">
        <f t="shared" si="22"/>
        <v>0</v>
      </c>
      <c r="AA60" s="24">
        <f>SUM(($I$35/16)*Z60)*0.4</f>
        <v>0</v>
      </c>
      <c r="AB60" s="24">
        <f t="shared" si="10"/>
        <v>24</v>
      </c>
      <c r="AC60" s="29">
        <f t="shared" si="11"/>
        <v>86206.511249999996</v>
      </c>
      <c r="AD60" s="29">
        <f t="shared" si="12"/>
        <v>24</v>
      </c>
      <c r="AE60" s="27">
        <v>30</v>
      </c>
      <c r="AF60" s="29">
        <f t="shared" si="39"/>
        <v>86206.511249999996</v>
      </c>
      <c r="AG60" s="29"/>
      <c r="AH60" s="62"/>
      <c r="AI60" s="63"/>
      <c r="AJ60" s="191">
        <f t="shared" si="23"/>
        <v>0</v>
      </c>
      <c r="AK60" s="191">
        <f t="shared" si="24"/>
        <v>0</v>
      </c>
      <c r="AL60" s="63"/>
      <c r="AM60" s="63"/>
      <c r="AN60" s="24">
        <f>SUM($I$35*AL60)*0.5</f>
        <v>0</v>
      </c>
      <c r="AO60" s="24">
        <f>SUM($I$35*AM60)*0.6</f>
        <v>0</v>
      </c>
      <c r="AP60" s="24"/>
      <c r="AQ60" s="24"/>
      <c r="AR60" s="24">
        <f>SUM($I$35*AQ60)</f>
        <v>0</v>
      </c>
      <c r="AS60" s="24">
        <v>1</v>
      </c>
      <c r="AT60" s="192">
        <f>SUM($I$35*AS60)</f>
        <v>17697</v>
      </c>
      <c r="AU60" s="130"/>
      <c r="AV60" s="191">
        <f>SUM($I$35*AU60)</f>
        <v>0</v>
      </c>
      <c r="AW60" s="129"/>
      <c r="AX60" s="242">
        <f t="shared" si="25"/>
        <v>506200.56374999991</v>
      </c>
    </row>
    <row r="61" spans="1:50" s="21" customFormat="1" ht="34.5" x14ac:dyDescent="0.2">
      <c r="A61" s="187">
        <v>19</v>
      </c>
      <c r="B61" s="244" t="s">
        <v>229</v>
      </c>
      <c r="C61" s="58" t="s">
        <v>230</v>
      </c>
      <c r="D61" s="58" t="s">
        <v>10</v>
      </c>
      <c r="E61" s="22" t="s">
        <v>167</v>
      </c>
      <c r="F61" s="23" t="s">
        <v>26</v>
      </c>
      <c r="G61" s="188">
        <v>4.7300000000000004</v>
      </c>
      <c r="H61" s="59">
        <v>29.04</v>
      </c>
      <c r="I61" s="29">
        <f t="shared" si="14"/>
        <v>83706.810000000012</v>
      </c>
      <c r="J61" s="29">
        <f t="shared" si="15"/>
        <v>20926.702500000003</v>
      </c>
      <c r="K61" s="29">
        <f t="shared" si="16"/>
        <v>104633.51250000001</v>
      </c>
      <c r="L61" s="29">
        <f t="shared" si="17"/>
        <v>209267.02500000002</v>
      </c>
      <c r="M61" s="61"/>
      <c r="N61" s="61"/>
      <c r="O61" s="61">
        <v>11</v>
      </c>
      <c r="P61" s="61"/>
      <c r="Q61" s="61"/>
      <c r="R61" s="189">
        <f t="shared" si="18"/>
        <v>11</v>
      </c>
      <c r="S61" s="27"/>
      <c r="T61" s="27">
        <f t="shared" si="6"/>
        <v>0</v>
      </c>
      <c r="U61" s="27">
        <f t="shared" si="7"/>
        <v>143871.07968750002</v>
      </c>
      <c r="V61" s="27">
        <f t="shared" si="8"/>
        <v>0</v>
      </c>
      <c r="W61" s="27">
        <f t="shared" si="19"/>
        <v>0</v>
      </c>
      <c r="X61" s="27">
        <f t="shared" ref="X61" si="78">SUM(S61:W61)</f>
        <v>143871.07968750002</v>
      </c>
      <c r="Y61" s="190">
        <f t="shared" ref="Y61" si="79">X61*0.1</f>
        <v>14387.107968750002</v>
      </c>
      <c r="Z61" s="24"/>
      <c r="AA61" s="24"/>
      <c r="AB61" s="24">
        <f t="shared" si="10"/>
        <v>11</v>
      </c>
      <c r="AC61" s="29">
        <f t="shared" ref="AC61" si="80">L61*0.3/16*AB61</f>
        <v>43161.323906250007</v>
      </c>
      <c r="AD61" s="29">
        <f t="shared" si="12"/>
        <v>11</v>
      </c>
      <c r="AE61" s="27"/>
      <c r="AF61" s="29"/>
      <c r="AG61" s="29"/>
      <c r="AH61" s="62"/>
      <c r="AI61" s="63"/>
      <c r="AJ61" s="191"/>
      <c r="AK61" s="191"/>
      <c r="AL61" s="63"/>
      <c r="AM61" s="63"/>
      <c r="AN61" s="24"/>
      <c r="AO61" s="24"/>
      <c r="AP61" s="24"/>
      <c r="AQ61" s="24"/>
      <c r="AR61" s="24"/>
      <c r="AS61" s="24"/>
      <c r="AT61" s="192"/>
      <c r="AU61" s="130"/>
      <c r="AV61" s="191"/>
      <c r="AW61" s="129"/>
      <c r="AX61" s="242">
        <f t="shared" si="25"/>
        <v>201419.51156250003</v>
      </c>
    </row>
    <row r="62" spans="1:50" s="21" customFormat="1" ht="34.5" x14ac:dyDescent="0.2">
      <c r="A62" s="241">
        <v>20</v>
      </c>
      <c r="B62" s="22" t="s">
        <v>92</v>
      </c>
      <c r="C62" s="58" t="s">
        <v>109</v>
      </c>
      <c r="D62" s="58" t="s">
        <v>79</v>
      </c>
      <c r="E62" s="22" t="s">
        <v>168</v>
      </c>
      <c r="F62" s="23" t="s">
        <v>26</v>
      </c>
      <c r="G62" s="188">
        <v>4.67</v>
      </c>
      <c r="H62" s="59">
        <v>23.07</v>
      </c>
      <c r="I62" s="29">
        <f t="shared" si="14"/>
        <v>82644.990000000005</v>
      </c>
      <c r="J62" s="29">
        <f t="shared" si="15"/>
        <v>20661.247500000001</v>
      </c>
      <c r="K62" s="29">
        <f t="shared" si="16"/>
        <v>103306.2375</v>
      </c>
      <c r="L62" s="29">
        <f t="shared" si="17"/>
        <v>206612.47500000001</v>
      </c>
      <c r="M62" s="61"/>
      <c r="N62" s="61"/>
      <c r="O62" s="61">
        <v>18</v>
      </c>
      <c r="P62" s="61">
        <v>1</v>
      </c>
      <c r="Q62" s="61">
        <v>2</v>
      </c>
      <c r="R62" s="189">
        <f t="shared" si="18"/>
        <v>21</v>
      </c>
      <c r="S62" s="27">
        <f t="shared" si="60"/>
        <v>0</v>
      </c>
      <c r="T62" s="27">
        <f t="shared" si="6"/>
        <v>0</v>
      </c>
      <c r="U62" s="27">
        <f t="shared" si="7"/>
        <v>232439.03437500002</v>
      </c>
      <c r="V62" s="27">
        <f t="shared" si="8"/>
        <v>12913.2796875</v>
      </c>
      <c r="W62" s="27">
        <f t="shared" si="19"/>
        <v>25826.559375000001</v>
      </c>
      <c r="X62" s="27">
        <f t="shared" si="20"/>
        <v>271178.87343750003</v>
      </c>
      <c r="Y62" s="190">
        <f t="shared" si="21"/>
        <v>27117.887343750004</v>
      </c>
      <c r="Z62" s="24">
        <f t="shared" si="22"/>
        <v>1</v>
      </c>
      <c r="AA62" s="24">
        <f>SUM(($I$35/16)*Z62)*0.4</f>
        <v>442.42500000000001</v>
      </c>
      <c r="AB62" s="24">
        <f t="shared" si="10"/>
        <v>21</v>
      </c>
      <c r="AC62" s="29">
        <f t="shared" si="11"/>
        <v>81353.662031250002</v>
      </c>
      <c r="AD62" s="29">
        <f t="shared" si="12"/>
        <v>21</v>
      </c>
      <c r="AE62" s="27">
        <v>30</v>
      </c>
      <c r="AF62" s="29">
        <f t="shared" si="39"/>
        <v>81353.662031250002</v>
      </c>
      <c r="AG62" s="29"/>
      <c r="AH62" s="62"/>
      <c r="AI62" s="63">
        <v>10</v>
      </c>
      <c r="AJ62" s="191">
        <f t="shared" si="23"/>
        <v>0</v>
      </c>
      <c r="AK62" s="191">
        <f t="shared" si="24"/>
        <v>5530.3125</v>
      </c>
      <c r="AL62" s="63"/>
      <c r="AM62" s="63">
        <v>1</v>
      </c>
      <c r="AN62" s="24">
        <f>SUM($I$35*AL62)*0.5</f>
        <v>0</v>
      </c>
      <c r="AO62" s="24">
        <f>SUM($I$35*AM62)*0.6</f>
        <v>10618.199999999999</v>
      </c>
      <c r="AP62" s="24"/>
      <c r="AQ62" s="24"/>
      <c r="AR62" s="24">
        <f>SUM($I$35*AQ62)</f>
        <v>0</v>
      </c>
      <c r="AS62" s="24"/>
      <c r="AT62" s="192">
        <f>SUM($I$35*AS62)</f>
        <v>0</v>
      </c>
      <c r="AU62" s="130"/>
      <c r="AV62" s="191">
        <f>SUM($I$35*AU62)</f>
        <v>0</v>
      </c>
      <c r="AW62" s="129"/>
      <c r="AX62" s="242">
        <f t="shared" si="25"/>
        <v>477595.02234375005</v>
      </c>
    </row>
    <row r="63" spans="1:50" s="21" customFormat="1" ht="34.5" x14ac:dyDescent="0.2">
      <c r="A63" s="241">
        <v>21</v>
      </c>
      <c r="B63" s="22" t="s">
        <v>231</v>
      </c>
      <c r="C63" s="58" t="s">
        <v>109</v>
      </c>
      <c r="D63" s="58" t="s">
        <v>79</v>
      </c>
      <c r="E63" s="22" t="s">
        <v>105</v>
      </c>
      <c r="F63" s="23" t="s">
        <v>24</v>
      </c>
      <c r="G63" s="188">
        <v>5.12</v>
      </c>
      <c r="H63" s="59">
        <v>20.04</v>
      </c>
      <c r="I63" s="29">
        <f t="shared" si="14"/>
        <v>90608.639999999999</v>
      </c>
      <c r="J63" s="29">
        <f t="shared" si="15"/>
        <v>22652.16</v>
      </c>
      <c r="K63" s="29">
        <f t="shared" si="16"/>
        <v>113260.8</v>
      </c>
      <c r="L63" s="29">
        <f t="shared" si="17"/>
        <v>226521.60000000001</v>
      </c>
      <c r="M63" s="61"/>
      <c r="N63" s="61"/>
      <c r="O63" s="61">
        <v>2</v>
      </c>
      <c r="P63" s="61"/>
      <c r="Q63" s="61">
        <v>5</v>
      </c>
      <c r="R63" s="189">
        <f t="shared" si="18"/>
        <v>7</v>
      </c>
      <c r="S63" s="27">
        <f t="shared" si="60"/>
        <v>0</v>
      </c>
      <c r="T63" s="27">
        <f t="shared" si="6"/>
        <v>0</v>
      </c>
      <c r="U63" s="27">
        <f t="shared" si="7"/>
        <v>28315.200000000001</v>
      </c>
      <c r="V63" s="27">
        <f t="shared" si="8"/>
        <v>0</v>
      </c>
      <c r="W63" s="27"/>
      <c r="X63" s="27">
        <f t="shared" si="20"/>
        <v>28315.200000000001</v>
      </c>
      <c r="Y63" s="190">
        <f t="shared" si="21"/>
        <v>2831.5200000000004</v>
      </c>
      <c r="Z63" s="24"/>
      <c r="AA63" s="24"/>
      <c r="AB63" s="24">
        <f t="shared" si="10"/>
        <v>7</v>
      </c>
      <c r="AC63" s="29">
        <f t="shared" ref="AC63" si="81">L63*0.3/16*AB63</f>
        <v>29730.959999999999</v>
      </c>
      <c r="AD63" s="29">
        <f t="shared" si="12"/>
        <v>7</v>
      </c>
      <c r="AE63" s="27">
        <v>35</v>
      </c>
      <c r="AF63" s="29">
        <f t="shared" si="39"/>
        <v>34686.119999999995</v>
      </c>
      <c r="AG63" s="29"/>
      <c r="AH63" s="62"/>
      <c r="AI63" s="63">
        <v>3.5</v>
      </c>
      <c r="AJ63" s="191"/>
      <c r="AK63" s="191">
        <f t="shared" si="24"/>
        <v>1935.609375</v>
      </c>
      <c r="AL63" s="63"/>
      <c r="AM63" s="63"/>
      <c r="AN63" s="24"/>
      <c r="AO63" s="24"/>
      <c r="AP63" s="24"/>
      <c r="AQ63" s="24"/>
      <c r="AR63" s="24"/>
      <c r="AS63" s="24"/>
      <c r="AT63" s="192"/>
      <c r="AU63" s="130"/>
      <c r="AV63" s="191"/>
      <c r="AW63" s="129"/>
      <c r="AX63" s="242">
        <f t="shared" si="25"/>
        <v>97499.409374999988</v>
      </c>
    </row>
    <row r="64" spans="1:50" s="15" customFormat="1" ht="39" customHeight="1" x14ac:dyDescent="0.2">
      <c r="A64" s="193">
        <v>22</v>
      </c>
      <c r="B64" s="126" t="s">
        <v>242</v>
      </c>
      <c r="C64" s="58" t="s">
        <v>97</v>
      </c>
      <c r="D64" s="58" t="s">
        <v>79</v>
      </c>
      <c r="E64" s="22" t="s">
        <v>105</v>
      </c>
      <c r="F64" s="23" t="s">
        <v>24</v>
      </c>
      <c r="G64" s="243">
        <v>5.2</v>
      </c>
      <c r="H64" s="58">
        <v>25</v>
      </c>
      <c r="I64" s="29">
        <f t="shared" si="14"/>
        <v>92024.400000000009</v>
      </c>
      <c r="J64" s="29">
        <f t="shared" si="15"/>
        <v>23006.100000000002</v>
      </c>
      <c r="K64" s="29">
        <f t="shared" si="16"/>
        <v>115030.50000000001</v>
      </c>
      <c r="L64" s="29">
        <f t="shared" si="17"/>
        <v>230061.00000000003</v>
      </c>
      <c r="M64" s="61">
        <v>3</v>
      </c>
      <c r="N64" s="61"/>
      <c r="O64" s="61">
        <v>4</v>
      </c>
      <c r="P64" s="61"/>
      <c r="Q64" s="61"/>
      <c r="R64" s="189">
        <f t="shared" si="18"/>
        <v>7</v>
      </c>
      <c r="S64" s="27">
        <f t="shared" si="60"/>
        <v>43136.437500000007</v>
      </c>
      <c r="T64" s="27">
        <f t="shared" si="6"/>
        <v>0</v>
      </c>
      <c r="U64" s="27">
        <f t="shared" si="7"/>
        <v>57515.250000000007</v>
      </c>
      <c r="V64" s="27">
        <f t="shared" si="8"/>
        <v>0</v>
      </c>
      <c r="W64" s="27">
        <f t="shared" ref="W64:W80" si="82">Q64/16*L64</f>
        <v>0</v>
      </c>
      <c r="X64" s="27">
        <f t="shared" si="20"/>
        <v>100651.68750000001</v>
      </c>
      <c r="Y64" s="190">
        <f t="shared" si="21"/>
        <v>10065.168750000003</v>
      </c>
      <c r="Z64" s="24">
        <v>0</v>
      </c>
      <c r="AA64" s="24">
        <f t="shared" ref="AA64:AA69" si="83">SUM(($I$35/16)*Z64)*0.4</f>
        <v>0</v>
      </c>
      <c r="AB64" s="24">
        <f t="shared" si="10"/>
        <v>7</v>
      </c>
      <c r="AC64" s="29">
        <f t="shared" si="11"/>
        <v>30195.506250000002</v>
      </c>
      <c r="AD64" s="29">
        <f t="shared" si="12"/>
        <v>7</v>
      </c>
      <c r="AE64" s="27">
        <v>35</v>
      </c>
      <c r="AF64" s="29">
        <f t="shared" si="39"/>
        <v>35228.090625000004</v>
      </c>
      <c r="AG64" s="29"/>
      <c r="AH64" s="62"/>
      <c r="AI64" s="63"/>
      <c r="AJ64" s="191">
        <f t="shared" si="23"/>
        <v>0</v>
      </c>
      <c r="AK64" s="191">
        <f t="shared" si="24"/>
        <v>0</v>
      </c>
      <c r="AL64" s="63"/>
      <c r="AM64" s="63"/>
      <c r="AN64" s="24">
        <f t="shared" ref="AN64:AN69" si="84">SUM($I$35*AL64)*0.5</f>
        <v>0</v>
      </c>
      <c r="AO64" s="24">
        <f t="shared" ref="AO64:AO69" si="85">SUM($I$35*AM64)*0.6</f>
        <v>0</v>
      </c>
      <c r="AP64" s="24"/>
      <c r="AQ64" s="24"/>
      <c r="AR64" s="24">
        <f t="shared" ref="AR64:AR69" si="86">SUM($I$35*AQ64)</f>
        <v>0</v>
      </c>
      <c r="AS64" s="24"/>
      <c r="AT64" s="192">
        <f t="shared" ref="AT64:AT69" si="87">SUM($I$35*AS64)</f>
        <v>0</v>
      </c>
      <c r="AU64" s="130"/>
      <c r="AV64" s="191">
        <f t="shared" ref="AV64:AV69" si="88">SUM($I$35*AU64)</f>
        <v>0</v>
      </c>
      <c r="AW64" s="129"/>
      <c r="AX64" s="242">
        <f t="shared" si="25"/>
        <v>176140.45312500003</v>
      </c>
    </row>
    <row r="65" spans="1:50" s="21" customFormat="1" ht="34.5" x14ac:dyDescent="0.2">
      <c r="A65" s="241">
        <v>23</v>
      </c>
      <c r="B65" s="127" t="s">
        <v>182</v>
      </c>
      <c r="C65" s="58" t="s">
        <v>72</v>
      </c>
      <c r="D65" s="58" t="s">
        <v>93</v>
      </c>
      <c r="E65" s="22" t="s">
        <v>21</v>
      </c>
      <c r="F65" s="23" t="s">
        <v>26</v>
      </c>
      <c r="G65" s="188">
        <v>4.2699999999999996</v>
      </c>
      <c r="H65" s="58">
        <v>6</v>
      </c>
      <c r="I65" s="29">
        <f t="shared" si="14"/>
        <v>75566.189999999988</v>
      </c>
      <c r="J65" s="29">
        <f t="shared" si="15"/>
        <v>18891.547499999997</v>
      </c>
      <c r="K65" s="29">
        <f t="shared" si="16"/>
        <v>94457.737499999988</v>
      </c>
      <c r="L65" s="29">
        <f t="shared" si="17"/>
        <v>188915.47499999998</v>
      </c>
      <c r="M65" s="61"/>
      <c r="N65" s="61"/>
      <c r="O65" s="61">
        <v>11</v>
      </c>
      <c r="P65" s="61">
        <v>1</v>
      </c>
      <c r="Q65" s="61">
        <v>6</v>
      </c>
      <c r="R65" s="189">
        <f t="shared" si="18"/>
        <v>18</v>
      </c>
      <c r="S65" s="27">
        <f t="shared" si="60"/>
        <v>0</v>
      </c>
      <c r="T65" s="27">
        <f t="shared" si="6"/>
        <v>0</v>
      </c>
      <c r="U65" s="27">
        <f t="shared" si="7"/>
        <v>129879.38906249998</v>
      </c>
      <c r="V65" s="27">
        <f t="shared" si="8"/>
        <v>11807.217187499999</v>
      </c>
      <c r="W65" s="27">
        <f t="shared" si="82"/>
        <v>70843.303124999991</v>
      </c>
      <c r="X65" s="27">
        <f t="shared" si="20"/>
        <v>212529.90937499999</v>
      </c>
      <c r="Y65" s="190">
        <f t="shared" si="21"/>
        <v>21252.990937499999</v>
      </c>
      <c r="Z65" s="24">
        <f t="shared" ref="Z65:Z72" si="89">SUM(N65+P65)</f>
        <v>1</v>
      </c>
      <c r="AA65" s="24">
        <f t="shared" si="83"/>
        <v>442.42500000000001</v>
      </c>
      <c r="AB65" s="24">
        <f t="shared" si="10"/>
        <v>18</v>
      </c>
      <c r="AC65" s="29">
        <f t="shared" si="11"/>
        <v>63758.972812499997</v>
      </c>
      <c r="AD65" s="29">
        <f t="shared" si="12"/>
        <v>18</v>
      </c>
      <c r="AE65" s="27"/>
      <c r="AF65" s="29">
        <f t="shared" si="39"/>
        <v>0</v>
      </c>
      <c r="AG65" s="29"/>
      <c r="AH65" s="62">
        <v>8</v>
      </c>
      <c r="AI65" s="63"/>
      <c r="AJ65" s="191">
        <f t="shared" si="23"/>
        <v>3539.4</v>
      </c>
      <c r="AK65" s="191">
        <f t="shared" si="24"/>
        <v>0</v>
      </c>
      <c r="AL65" s="63"/>
      <c r="AM65" s="63">
        <v>1</v>
      </c>
      <c r="AN65" s="24">
        <f t="shared" si="84"/>
        <v>0</v>
      </c>
      <c r="AO65" s="24">
        <f t="shared" si="85"/>
        <v>10618.199999999999</v>
      </c>
      <c r="AP65" s="24"/>
      <c r="AQ65" s="24"/>
      <c r="AR65" s="24">
        <f t="shared" si="86"/>
        <v>0</v>
      </c>
      <c r="AS65" s="24"/>
      <c r="AT65" s="192">
        <f t="shared" si="87"/>
        <v>0</v>
      </c>
      <c r="AU65" s="130"/>
      <c r="AV65" s="191">
        <f t="shared" si="88"/>
        <v>0</v>
      </c>
      <c r="AW65" s="129"/>
      <c r="AX65" s="242">
        <f t="shared" si="25"/>
        <v>312141.89812500001</v>
      </c>
    </row>
    <row r="66" spans="1:50" s="21" customFormat="1" ht="34.5" x14ac:dyDescent="0.2">
      <c r="A66" s="193">
        <v>24</v>
      </c>
      <c r="B66" s="127" t="s">
        <v>232</v>
      </c>
      <c r="C66" s="58" t="s">
        <v>22</v>
      </c>
      <c r="D66" s="58" t="s">
        <v>79</v>
      </c>
      <c r="E66" s="22" t="s">
        <v>110</v>
      </c>
      <c r="F66" s="23" t="s">
        <v>26</v>
      </c>
      <c r="G66" s="188">
        <v>4.49</v>
      </c>
      <c r="H66" s="58">
        <v>14.04</v>
      </c>
      <c r="I66" s="29">
        <f t="shared" si="14"/>
        <v>79459.53</v>
      </c>
      <c r="J66" s="29">
        <f t="shared" si="15"/>
        <v>19864.8825</v>
      </c>
      <c r="K66" s="29">
        <f t="shared" si="16"/>
        <v>99324.412500000006</v>
      </c>
      <c r="L66" s="29">
        <f t="shared" si="17"/>
        <v>198648.82500000001</v>
      </c>
      <c r="M66" s="61"/>
      <c r="N66" s="61"/>
      <c r="O66" s="61">
        <v>12</v>
      </c>
      <c r="P66" s="61">
        <v>1</v>
      </c>
      <c r="Q66" s="61">
        <v>8</v>
      </c>
      <c r="R66" s="189">
        <f t="shared" si="18"/>
        <v>21</v>
      </c>
      <c r="S66" s="27">
        <f t="shared" si="60"/>
        <v>0</v>
      </c>
      <c r="T66" s="27">
        <f t="shared" si="6"/>
        <v>0</v>
      </c>
      <c r="U66" s="27">
        <f t="shared" si="7"/>
        <v>148986.61875000002</v>
      </c>
      <c r="V66" s="27">
        <f t="shared" si="8"/>
        <v>12415.551562500001</v>
      </c>
      <c r="W66" s="27">
        <f t="shared" si="82"/>
        <v>99324.412500000006</v>
      </c>
      <c r="X66" s="27">
        <f t="shared" si="20"/>
        <v>260726.58281250004</v>
      </c>
      <c r="Y66" s="190">
        <f t="shared" si="21"/>
        <v>26072.658281250006</v>
      </c>
      <c r="Z66" s="24">
        <f t="shared" si="89"/>
        <v>1</v>
      </c>
      <c r="AA66" s="24">
        <f t="shared" si="83"/>
        <v>442.42500000000001</v>
      </c>
      <c r="AB66" s="24">
        <f t="shared" si="10"/>
        <v>21</v>
      </c>
      <c r="AC66" s="29">
        <f t="shared" si="11"/>
        <v>78217.974843749995</v>
      </c>
      <c r="AD66" s="29">
        <f t="shared" si="12"/>
        <v>21</v>
      </c>
      <c r="AE66" s="27">
        <v>30</v>
      </c>
      <c r="AF66" s="29">
        <f t="shared" si="39"/>
        <v>78217.974843749995</v>
      </c>
      <c r="AG66" s="29"/>
      <c r="AH66" s="62"/>
      <c r="AI66" s="63"/>
      <c r="AJ66" s="191">
        <f t="shared" si="23"/>
        <v>0</v>
      </c>
      <c r="AK66" s="191">
        <f t="shared" si="24"/>
        <v>0</v>
      </c>
      <c r="AL66" s="63"/>
      <c r="AM66" s="63"/>
      <c r="AN66" s="24">
        <f t="shared" si="84"/>
        <v>0</v>
      </c>
      <c r="AO66" s="24">
        <f t="shared" si="85"/>
        <v>0</v>
      </c>
      <c r="AP66" s="24"/>
      <c r="AQ66" s="24"/>
      <c r="AR66" s="24">
        <f t="shared" si="86"/>
        <v>0</v>
      </c>
      <c r="AS66" s="24"/>
      <c r="AT66" s="192">
        <f t="shared" si="87"/>
        <v>0</v>
      </c>
      <c r="AU66" s="130"/>
      <c r="AV66" s="191">
        <f t="shared" si="88"/>
        <v>0</v>
      </c>
      <c r="AW66" s="129"/>
      <c r="AX66" s="242">
        <f t="shared" si="25"/>
        <v>443677.61578125006</v>
      </c>
    </row>
    <row r="67" spans="1:50" s="21" customFormat="1" ht="34.5" x14ac:dyDescent="0.2">
      <c r="A67" s="193">
        <v>25</v>
      </c>
      <c r="B67" s="126" t="s">
        <v>94</v>
      </c>
      <c r="C67" s="58" t="s">
        <v>233</v>
      </c>
      <c r="D67" s="58" t="s">
        <v>10</v>
      </c>
      <c r="E67" s="22" t="s">
        <v>103</v>
      </c>
      <c r="F67" s="23" t="s">
        <v>26</v>
      </c>
      <c r="G67" s="188">
        <v>4.59</v>
      </c>
      <c r="H67" s="58">
        <v>19.09</v>
      </c>
      <c r="I67" s="29">
        <f t="shared" si="14"/>
        <v>81229.23</v>
      </c>
      <c r="J67" s="29">
        <f t="shared" si="15"/>
        <v>20307.307499999999</v>
      </c>
      <c r="K67" s="29">
        <f t="shared" si="16"/>
        <v>101536.53749999999</v>
      </c>
      <c r="L67" s="29">
        <f t="shared" si="17"/>
        <v>203073.07499999998</v>
      </c>
      <c r="M67" s="61">
        <v>20</v>
      </c>
      <c r="N67" s="61"/>
      <c r="O67" s="61"/>
      <c r="P67" s="61"/>
      <c r="Q67" s="61"/>
      <c r="R67" s="189">
        <f t="shared" si="18"/>
        <v>20</v>
      </c>
      <c r="S67" s="27">
        <f t="shared" si="60"/>
        <v>253841.34374999997</v>
      </c>
      <c r="T67" s="27">
        <f t="shared" si="6"/>
        <v>0</v>
      </c>
      <c r="U67" s="27">
        <f t="shared" si="7"/>
        <v>0</v>
      </c>
      <c r="V67" s="27">
        <f t="shared" si="8"/>
        <v>0</v>
      </c>
      <c r="W67" s="27">
        <f t="shared" si="82"/>
        <v>0</v>
      </c>
      <c r="X67" s="27">
        <f t="shared" si="20"/>
        <v>253841.34374999997</v>
      </c>
      <c r="Y67" s="190">
        <f t="shared" si="21"/>
        <v>25384.134374999998</v>
      </c>
      <c r="Z67" s="24">
        <f t="shared" si="89"/>
        <v>0</v>
      </c>
      <c r="AA67" s="24">
        <f t="shared" si="83"/>
        <v>0</v>
      </c>
      <c r="AB67" s="24">
        <f t="shared" si="10"/>
        <v>20</v>
      </c>
      <c r="AC67" s="29">
        <f t="shared" si="11"/>
        <v>76152.403124999997</v>
      </c>
      <c r="AD67" s="29">
        <f t="shared" si="12"/>
        <v>20</v>
      </c>
      <c r="AE67" s="27">
        <v>30</v>
      </c>
      <c r="AF67" s="29">
        <f t="shared" si="39"/>
        <v>76152.403124999997</v>
      </c>
      <c r="AG67" s="29"/>
      <c r="AH67" s="62">
        <v>16</v>
      </c>
      <c r="AI67" s="63"/>
      <c r="AJ67" s="191">
        <f t="shared" si="23"/>
        <v>7078.8</v>
      </c>
      <c r="AK67" s="191">
        <f t="shared" si="24"/>
        <v>0</v>
      </c>
      <c r="AL67" s="63">
        <v>1</v>
      </c>
      <c r="AM67" s="63"/>
      <c r="AN67" s="24">
        <f t="shared" si="84"/>
        <v>8848.5</v>
      </c>
      <c r="AO67" s="24">
        <f t="shared" si="85"/>
        <v>0</v>
      </c>
      <c r="AP67" s="24"/>
      <c r="AQ67" s="24"/>
      <c r="AR67" s="24">
        <f t="shared" si="86"/>
        <v>0</v>
      </c>
      <c r="AS67" s="24"/>
      <c r="AT67" s="192">
        <f t="shared" si="87"/>
        <v>0</v>
      </c>
      <c r="AU67" s="130"/>
      <c r="AV67" s="191">
        <f t="shared" si="88"/>
        <v>0</v>
      </c>
      <c r="AW67" s="129"/>
      <c r="AX67" s="242">
        <f t="shared" si="25"/>
        <v>447457.58437499998</v>
      </c>
    </row>
    <row r="68" spans="1:50" s="15" customFormat="1" ht="34.5" x14ac:dyDescent="0.2">
      <c r="A68" s="241">
        <v>26</v>
      </c>
      <c r="B68" s="22" t="s">
        <v>95</v>
      </c>
      <c r="C68" s="58" t="s">
        <v>96</v>
      </c>
      <c r="D68" s="58" t="s">
        <v>79</v>
      </c>
      <c r="E68" s="22" t="s">
        <v>181</v>
      </c>
      <c r="F68" s="23" t="s">
        <v>26</v>
      </c>
      <c r="G68" s="243">
        <v>4.59</v>
      </c>
      <c r="H68" s="58">
        <v>18.079999999999998</v>
      </c>
      <c r="I68" s="29">
        <f t="shared" si="14"/>
        <v>81229.23</v>
      </c>
      <c r="J68" s="29">
        <f t="shared" si="15"/>
        <v>20307.307499999999</v>
      </c>
      <c r="K68" s="29">
        <f t="shared" si="16"/>
        <v>101536.53749999999</v>
      </c>
      <c r="L68" s="29">
        <f t="shared" si="17"/>
        <v>203073.07499999998</v>
      </c>
      <c r="M68" s="61"/>
      <c r="N68" s="61"/>
      <c r="O68" s="61">
        <v>23</v>
      </c>
      <c r="P68" s="61"/>
      <c r="Q68" s="61"/>
      <c r="R68" s="189">
        <f t="shared" si="18"/>
        <v>23</v>
      </c>
      <c r="S68" s="27">
        <f t="shared" si="60"/>
        <v>0</v>
      </c>
      <c r="T68" s="27">
        <f t="shared" si="6"/>
        <v>0</v>
      </c>
      <c r="U68" s="27">
        <f t="shared" si="7"/>
        <v>291917.54531249998</v>
      </c>
      <c r="V68" s="27">
        <f t="shared" si="8"/>
        <v>0</v>
      </c>
      <c r="W68" s="27">
        <f t="shared" si="82"/>
        <v>0</v>
      </c>
      <c r="X68" s="27">
        <f t="shared" si="20"/>
        <v>291917.54531249998</v>
      </c>
      <c r="Y68" s="190">
        <f t="shared" si="21"/>
        <v>29191.754531250001</v>
      </c>
      <c r="Z68" s="24">
        <f t="shared" si="89"/>
        <v>0</v>
      </c>
      <c r="AA68" s="24">
        <f t="shared" si="83"/>
        <v>0</v>
      </c>
      <c r="AB68" s="24">
        <f t="shared" si="10"/>
        <v>23</v>
      </c>
      <c r="AC68" s="29">
        <f t="shared" si="11"/>
        <v>87575.263593749987</v>
      </c>
      <c r="AD68" s="29">
        <f t="shared" si="12"/>
        <v>23</v>
      </c>
      <c r="AE68" s="27"/>
      <c r="AF68" s="29">
        <f t="shared" si="39"/>
        <v>0</v>
      </c>
      <c r="AG68" s="29"/>
      <c r="AH68" s="62"/>
      <c r="AI68" s="63">
        <v>11.5</v>
      </c>
      <c r="AJ68" s="191">
        <f t="shared" si="23"/>
        <v>0</v>
      </c>
      <c r="AK68" s="191">
        <f t="shared" si="24"/>
        <v>6359.859375</v>
      </c>
      <c r="AL68" s="63"/>
      <c r="AM68" s="63">
        <v>0.5</v>
      </c>
      <c r="AN68" s="24">
        <f t="shared" si="84"/>
        <v>0</v>
      </c>
      <c r="AO68" s="24">
        <f t="shared" si="85"/>
        <v>5309.0999999999995</v>
      </c>
      <c r="AP68" s="24"/>
      <c r="AQ68" s="24"/>
      <c r="AR68" s="24">
        <f t="shared" si="86"/>
        <v>0</v>
      </c>
      <c r="AS68" s="24"/>
      <c r="AT68" s="192">
        <f t="shared" si="87"/>
        <v>0</v>
      </c>
      <c r="AU68" s="130"/>
      <c r="AV68" s="191">
        <f t="shared" si="88"/>
        <v>0</v>
      </c>
      <c r="AW68" s="129"/>
      <c r="AX68" s="242">
        <f t="shared" si="25"/>
        <v>420353.5228124999</v>
      </c>
    </row>
    <row r="69" spans="1:50" s="15" customFormat="1" ht="34.5" x14ac:dyDescent="0.2">
      <c r="A69" s="193">
        <v>27</v>
      </c>
      <c r="B69" s="127" t="s">
        <v>98</v>
      </c>
      <c r="C69" s="58" t="s">
        <v>87</v>
      </c>
      <c r="D69" s="58" t="s">
        <v>99</v>
      </c>
      <c r="E69" s="22" t="s">
        <v>103</v>
      </c>
      <c r="F69" s="23" t="s">
        <v>26</v>
      </c>
      <c r="G69" s="243">
        <v>4.33</v>
      </c>
      <c r="H69" s="58">
        <v>7.06</v>
      </c>
      <c r="I69" s="29">
        <f t="shared" si="14"/>
        <v>76628.009999999995</v>
      </c>
      <c r="J69" s="29">
        <f t="shared" si="15"/>
        <v>19157.002499999999</v>
      </c>
      <c r="K69" s="29">
        <f t="shared" si="16"/>
        <v>95785.012499999997</v>
      </c>
      <c r="L69" s="29">
        <f t="shared" si="17"/>
        <v>191570.02499999999</v>
      </c>
      <c r="M69" s="61"/>
      <c r="N69" s="61"/>
      <c r="O69" s="61">
        <v>21</v>
      </c>
      <c r="P69" s="61"/>
      <c r="Q69" s="61">
        <v>4</v>
      </c>
      <c r="R69" s="189">
        <f t="shared" si="18"/>
        <v>25</v>
      </c>
      <c r="S69" s="27">
        <f t="shared" si="60"/>
        <v>0</v>
      </c>
      <c r="T69" s="27">
        <f t="shared" si="6"/>
        <v>0</v>
      </c>
      <c r="U69" s="27">
        <f t="shared" si="7"/>
        <v>251435.65781249999</v>
      </c>
      <c r="V69" s="27">
        <f t="shared" si="8"/>
        <v>0</v>
      </c>
      <c r="W69" s="27">
        <f t="shared" si="82"/>
        <v>47892.506249999999</v>
      </c>
      <c r="X69" s="27">
        <f t="shared" si="20"/>
        <v>299328.1640625</v>
      </c>
      <c r="Y69" s="190">
        <f t="shared" si="21"/>
        <v>29932.81640625</v>
      </c>
      <c r="Z69" s="24">
        <f t="shared" si="89"/>
        <v>0</v>
      </c>
      <c r="AA69" s="24">
        <f t="shared" si="83"/>
        <v>0</v>
      </c>
      <c r="AB69" s="24">
        <f t="shared" si="10"/>
        <v>25</v>
      </c>
      <c r="AC69" s="29">
        <f t="shared" si="11"/>
        <v>89798.44921875</v>
      </c>
      <c r="AD69" s="29">
        <f t="shared" si="12"/>
        <v>25</v>
      </c>
      <c r="AE69" s="27">
        <v>30</v>
      </c>
      <c r="AF69" s="29">
        <f t="shared" si="39"/>
        <v>89798.44921875</v>
      </c>
      <c r="AG69" s="29"/>
      <c r="AH69" s="62"/>
      <c r="AI69" s="63">
        <v>15</v>
      </c>
      <c r="AJ69" s="191">
        <f t="shared" si="23"/>
        <v>0</v>
      </c>
      <c r="AK69" s="191">
        <f t="shared" si="24"/>
        <v>8295.46875</v>
      </c>
      <c r="AL69" s="63"/>
      <c r="AM69" s="63">
        <v>1</v>
      </c>
      <c r="AN69" s="24">
        <f t="shared" si="84"/>
        <v>0</v>
      </c>
      <c r="AO69" s="24">
        <f t="shared" si="85"/>
        <v>10618.199999999999</v>
      </c>
      <c r="AP69" s="24"/>
      <c r="AQ69" s="24"/>
      <c r="AR69" s="24">
        <f t="shared" si="86"/>
        <v>0</v>
      </c>
      <c r="AS69" s="24"/>
      <c r="AT69" s="192">
        <f t="shared" si="87"/>
        <v>0</v>
      </c>
      <c r="AU69" s="130"/>
      <c r="AV69" s="191">
        <f t="shared" si="88"/>
        <v>0</v>
      </c>
      <c r="AW69" s="129"/>
      <c r="AX69" s="242">
        <f t="shared" si="25"/>
        <v>527771.54765624995</v>
      </c>
    </row>
    <row r="70" spans="1:50" s="15" customFormat="1" ht="34.5" x14ac:dyDescent="0.2">
      <c r="A70" s="193">
        <v>28</v>
      </c>
      <c r="B70" s="126" t="s">
        <v>176</v>
      </c>
      <c r="C70" s="58" t="s">
        <v>234</v>
      </c>
      <c r="D70" s="58" t="s">
        <v>79</v>
      </c>
      <c r="E70" s="22" t="s">
        <v>110</v>
      </c>
      <c r="F70" s="243" t="s">
        <v>26</v>
      </c>
      <c r="G70" s="188">
        <v>4.59</v>
      </c>
      <c r="H70" s="58">
        <v>18.04</v>
      </c>
      <c r="I70" s="29">
        <f t="shared" si="14"/>
        <v>81229.23</v>
      </c>
      <c r="J70" s="29">
        <f t="shared" si="15"/>
        <v>20307.307499999999</v>
      </c>
      <c r="K70" s="29">
        <f t="shared" si="16"/>
        <v>101536.53749999999</v>
      </c>
      <c r="L70" s="29">
        <f t="shared" si="17"/>
        <v>203073.07499999998</v>
      </c>
      <c r="M70" s="61">
        <v>24</v>
      </c>
      <c r="N70" s="61"/>
      <c r="O70" s="61"/>
      <c r="P70" s="61"/>
      <c r="Q70" s="61"/>
      <c r="R70" s="189">
        <f t="shared" si="18"/>
        <v>24</v>
      </c>
      <c r="S70" s="27">
        <f t="shared" si="60"/>
        <v>304609.61249999999</v>
      </c>
      <c r="T70" s="27">
        <f t="shared" si="6"/>
        <v>0</v>
      </c>
      <c r="U70" s="27">
        <f t="shared" si="7"/>
        <v>0</v>
      </c>
      <c r="V70" s="27">
        <f t="shared" si="8"/>
        <v>0</v>
      </c>
      <c r="W70" s="27">
        <f t="shared" si="82"/>
        <v>0</v>
      </c>
      <c r="X70" s="27">
        <f t="shared" si="20"/>
        <v>304609.61249999999</v>
      </c>
      <c r="Y70" s="190">
        <f t="shared" si="21"/>
        <v>30460.96125</v>
      </c>
      <c r="Z70" s="24">
        <f t="shared" si="89"/>
        <v>0</v>
      </c>
      <c r="AA70" s="24">
        <f t="shared" ref="AA70:AA80" si="90">SUM(($I$35/16)*Z70)*0.4</f>
        <v>0</v>
      </c>
      <c r="AB70" s="24">
        <f t="shared" si="10"/>
        <v>24</v>
      </c>
      <c r="AC70" s="29">
        <f t="shared" si="11"/>
        <v>91382.883749999994</v>
      </c>
      <c r="AD70" s="29">
        <f t="shared" si="12"/>
        <v>24</v>
      </c>
      <c r="AE70" s="27">
        <v>30</v>
      </c>
      <c r="AF70" s="29">
        <f t="shared" si="39"/>
        <v>91382.883749999994</v>
      </c>
      <c r="AG70" s="29"/>
      <c r="AH70" s="62">
        <v>16</v>
      </c>
      <c r="AI70" s="63"/>
      <c r="AJ70" s="191">
        <f t="shared" si="23"/>
        <v>7078.8</v>
      </c>
      <c r="AK70" s="191">
        <f t="shared" si="24"/>
        <v>0</v>
      </c>
      <c r="AL70" s="63">
        <v>1</v>
      </c>
      <c r="AM70" s="63"/>
      <c r="AN70" s="24">
        <f t="shared" ref="AN70:AN75" si="91">SUM($I$35*AL70)*0.5</f>
        <v>8848.5</v>
      </c>
      <c r="AO70" s="24">
        <f t="shared" ref="AO70:AO75" si="92">SUM($I$35*AM70)*0.6</f>
        <v>0</v>
      </c>
      <c r="AP70" s="24"/>
      <c r="AQ70" s="24"/>
      <c r="AR70" s="24">
        <f t="shared" ref="AR70:AR75" si="93">SUM($I$35*AQ70)</f>
        <v>0</v>
      </c>
      <c r="AS70" s="24"/>
      <c r="AT70" s="192">
        <f t="shared" ref="AT70:AT75" si="94">SUM($I$35*AS70)</f>
        <v>0</v>
      </c>
      <c r="AU70" s="130"/>
      <c r="AV70" s="191">
        <f t="shared" ref="AV70:AV75" si="95">SUM($I$35*AU70)</f>
        <v>0</v>
      </c>
      <c r="AW70" s="129"/>
      <c r="AX70" s="242">
        <f t="shared" si="25"/>
        <v>533763.64124999999</v>
      </c>
    </row>
    <row r="71" spans="1:50" s="15" customFormat="1" ht="34.5" x14ac:dyDescent="0.2">
      <c r="A71" s="241">
        <v>29</v>
      </c>
      <c r="B71" s="127" t="s">
        <v>101</v>
      </c>
      <c r="C71" s="58" t="s">
        <v>235</v>
      </c>
      <c r="D71" s="58" t="s">
        <v>100</v>
      </c>
      <c r="E71" s="22" t="s">
        <v>104</v>
      </c>
      <c r="F71" s="188" t="s">
        <v>39</v>
      </c>
      <c r="G71" s="243">
        <v>4.29</v>
      </c>
      <c r="H71" s="58">
        <v>26.07</v>
      </c>
      <c r="I71" s="29">
        <f t="shared" si="14"/>
        <v>75920.13</v>
      </c>
      <c r="J71" s="29">
        <f t="shared" si="15"/>
        <v>18980.032500000001</v>
      </c>
      <c r="K71" s="29">
        <f t="shared" si="16"/>
        <v>94900.162500000006</v>
      </c>
      <c r="L71" s="29">
        <f t="shared" si="17"/>
        <v>189800.32500000001</v>
      </c>
      <c r="M71" s="24">
        <v>22</v>
      </c>
      <c r="N71" s="24"/>
      <c r="O71" s="24"/>
      <c r="P71" s="24"/>
      <c r="Q71" s="24"/>
      <c r="R71" s="189">
        <f t="shared" si="18"/>
        <v>22</v>
      </c>
      <c r="S71" s="27">
        <f t="shared" si="60"/>
        <v>260975.44687500002</v>
      </c>
      <c r="T71" s="27">
        <f t="shared" si="6"/>
        <v>0</v>
      </c>
      <c r="U71" s="27">
        <f t="shared" si="7"/>
        <v>0</v>
      </c>
      <c r="V71" s="27">
        <f t="shared" si="8"/>
        <v>0</v>
      </c>
      <c r="W71" s="27">
        <f t="shared" si="82"/>
        <v>0</v>
      </c>
      <c r="X71" s="27">
        <f t="shared" si="20"/>
        <v>260975.44687500002</v>
      </c>
      <c r="Y71" s="190">
        <f t="shared" si="21"/>
        <v>26097.544687500005</v>
      </c>
      <c r="Z71" s="24">
        <f t="shared" si="89"/>
        <v>0</v>
      </c>
      <c r="AA71" s="24">
        <f t="shared" si="90"/>
        <v>0</v>
      </c>
      <c r="AB71" s="24">
        <f t="shared" si="10"/>
        <v>22</v>
      </c>
      <c r="AC71" s="29">
        <f t="shared" si="11"/>
        <v>78292.634062500001</v>
      </c>
      <c r="AD71" s="29">
        <f t="shared" si="12"/>
        <v>22</v>
      </c>
      <c r="AE71" s="27">
        <v>35</v>
      </c>
      <c r="AF71" s="29">
        <f t="shared" si="39"/>
        <v>91341.406406250011</v>
      </c>
      <c r="AG71" s="29"/>
      <c r="AH71" s="62">
        <v>8</v>
      </c>
      <c r="AI71" s="63"/>
      <c r="AJ71" s="191">
        <f t="shared" si="23"/>
        <v>3539.4</v>
      </c>
      <c r="AK71" s="191">
        <f t="shared" si="24"/>
        <v>0</v>
      </c>
      <c r="AL71" s="63">
        <v>0.5</v>
      </c>
      <c r="AM71" s="63"/>
      <c r="AN71" s="24">
        <f t="shared" si="91"/>
        <v>4424.25</v>
      </c>
      <c r="AO71" s="24">
        <f t="shared" si="92"/>
        <v>0</v>
      </c>
      <c r="AP71" s="24"/>
      <c r="AQ71" s="24"/>
      <c r="AR71" s="24">
        <f t="shared" si="93"/>
        <v>0</v>
      </c>
      <c r="AS71" s="24"/>
      <c r="AT71" s="192">
        <f t="shared" si="94"/>
        <v>0</v>
      </c>
      <c r="AU71" s="130"/>
      <c r="AV71" s="191">
        <f t="shared" si="95"/>
        <v>0</v>
      </c>
      <c r="AW71" s="129"/>
      <c r="AX71" s="242">
        <f t="shared" si="25"/>
        <v>464670.68203125003</v>
      </c>
    </row>
    <row r="72" spans="1:50" s="15" customFormat="1" ht="34.5" x14ac:dyDescent="0.2">
      <c r="A72" s="193">
        <v>30</v>
      </c>
      <c r="B72" s="126" t="s">
        <v>183</v>
      </c>
      <c r="C72" s="58" t="s">
        <v>236</v>
      </c>
      <c r="D72" s="58" t="s">
        <v>10</v>
      </c>
      <c r="E72" s="22" t="s">
        <v>103</v>
      </c>
      <c r="F72" s="188" t="s">
        <v>26</v>
      </c>
      <c r="G72" s="243">
        <v>4.33</v>
      </c>
      <c r="H72" s="58">
        <v>9.01</v>
      </c>
      <c r="I72" s="29">
        <f t="shared" si="14"/>
        <v>76628.009999999995</v>
      </c>
      <c r="J72" s="29">
        <f t="shared" si="15"/>
        <v>19157.002499999999</v>
      </c>
      <c r="K72" s="29">
        <f t="shared" si="16"/>
        <v>95785.012499999997</v>
      </c>
      <c r="L72" s="29">
        <f t="shared" si="17"/>
        <v>191570.02499999999</v>
      </c>
      <c r="M72" s="24">
        <v>20</v>
      </c>
      <c r="N72" s="24"/>
      <c r="O72" s="24"/>
      <c r="P72" s="24"/>
      <c r="Q72" s="24"/>
      <c r="R72" s="189">
        <f t="shared" si="18"/>
        <v>20</v>
      </c>
      <c r="S72" s="27">
        <f t="shared" si="60"/>
        <v>239462.53125</v>
      </c>
      <c r="T72" s="27">
        <f t="shared" si="6"/>
        <v>0</v>
      </c>
      <c r="U72" s="27">
        <f t="shared" si="7"/>
        <v>0</v>
      </c>
      <c r="V72" s="27">
        <f t="shared" si="8"/>
        <v>0</v>
      </c>
      <c r="W72" s="27">
        <f t="shared" si="82"/>
        <v>0</v>
      </c>
      <c r="X72" s="27">
        <f t="shared" si="20"/>
        <v>239462.53125</v>
      </c>
      <c r="Y72" s="190">
        <f t="shared" si="21"/>
        <v>23946.253125000003</v>
      </c>
      <c r="Z72" s="24">
        <f t="shared" si="89"/>
        <v>0</v>
      </c>
      <c r="AA72" s="24">
        <f t="shared" si="90"/>
        <v>0</v>
      </c>
      <c r="AB72" s="24">
        <v>22</v>
      </c>
      <c r="AC72" s="29">
        <f t="shared" si="11"/>
        <v>79022.635312500002</v>
      </c>
      <c r="AD72" s="29">
        <f t="shared" si="12"/>
        <v>20</v>
      </c>
      <c r="AE72" s="27">
        <v>30</v>
      </c>
      <c r="AF72" s="29">
        <f t="shared" si="39"/>
        <v>71838.759374999994</v>
      </c>
      <c r="AG72" s="29"/>
      <c r="AH72" s="62">
        <v>8</v>
      </c>
      <c r="AI72" s="63"/>
      <c r="AJ72" s="191">
        <f t="shared" si="23"/>
        <v>3539.4</v>
      </c>
      <c r="AK72" s="191">
        <f t="shared" si="24"/>
        <v>0</v>
      </c>
      <c r="AL72" s="63">
        <v>0.5</v>
      </c>
      <c r="AM72" s="63"/>
      <c r="AN72" s="24">
        <f t="shared" si="91"/>
        <v>4424.25</v>
      </c>
      <c r="AO72" s="24">
        <f t="shared" si="92"/>
        <v>0</v>
      </c>
      <c r="AP72" s="24"/>
      <c r="AQ72" s="24"/>
      <c r="AR72" s="24">
        <f t="shared" si="93"/>
        <v>0</v>
      </c>
      <c r="AS72" s="24"/>
      <c r="AT72" s="192">
        <f t="shared" si="94"/>
        <v>0</v>
      </c>
      <c r="AU72" s="130"/>
      <c r="AV72" s="191">
        <f t="shared" si="95"/>
        <v>0</v>
      </c>
      <c r="AW72" s="129"/>
      <c r="AX72" s="242">
        <f t="shared" si="25"/>
        <v>422233.82906250004</v>
      </c>
    </row>
    <row r="73" spans="1:50" s="15" customFormat="1" ht="34.5" x14ac:dyDescent="0.2">
      <c r="A73" s="193">
        <v>31</v>
      </c>
      <c r="B73" s="125" t="s">
        <v>172</v>
      </c>
      <c r="C73" s="58" t="s">
        <v>237</v>
      </c>
      <c r="D73" s="58" t="s">
        <v>10</v>
      </c>
      <c r="E73" s="22" t="s">
        <v>104</v>
      </c>
      <c r="F73" s="188" t="s">
        <v>25</v>
      </c>
      <c r="G73" s="243">
        <v>4.9000000000000004</v>
      </c>
      <c r="H73" s="58">
        <v>15.1</v>
      </c>
      <c r="I73" s="29">
        <f t="shared" si="14"/>
        <v>86715.3</v>
      </c>
      <c r="J73" s="29">
        <f t="shared" si="15"/>
        <v>21678.825000000001</v>
      </c>
      <c r="K73" s="29">
        <f t="shared" si="16"/>
        <v>108394.125</v>
      </c>
      <c r="L73" s="29">
        <f t="shared" si="17"/>
        <v>216788.25</v>
      </c>
      <c r="M73" s="24">
        <v>16</v>
      </c>
      <c r="N73" s="24"/>
      <c r="O73" s="24"/>
      <c r="P73" s="24"/>
      <c r="Q73" s="24"/>
      <c r="R73" s="189">
        <f t="shared" si="18"/>
        <v>16</v>
      </c>
      <c r="S73" s="27">
        <f t="shared" si="60"/>
        <v>216788.25</v>
      </c>
      <c r="T73" s="27">
        <f t="shared" si="6"/>
        <v>0</v>
      </c>
      <c r="U73" s="27">
        <f t="shared" si="7"/>
        <v>0</v>
      </c>
      <c r="V73" s="27">
        <f t="shared" si="8"/>
        <v>0</v>
      </c>
      <c r="W73" s="27">
        <f t="shared" si="82"/>
        <v>0</v>
      </c>
      <c r="X73" s="27">
        <f t="shared" si="20"/>
        <v>216788.25</v>
      </c>
      <c r="Y73" s="190">
        <f t="shared" si="21"/>
        <v>21678.825000000001</v>
      </c>
      <c r="Z73" s="24">
        <v>0</v>
      </c>
      <c r="AA73" s="24">
        <f t="shared" si="90"/>
        <v>0</v>
      </c>
      <c r="AB73" s="24">
        <f t="shared" si="10"/>
        <v>16</v>
      </c>
      <c r="AC73" s="29">
        <f t="shared" si="11"/>
        <v>65036.474999999999</v>
      </c>
      <c r="AD73" s="29">
        <f t="shared" si="12"/>
        <v>16</v>
      </c>
      <c r="AE73" s="27">
        <v>35</v>
      </c>
      <c r="AF73" s="29">
        <f t="shared" si="39"/>
        <v>75875.887499999997</v>
      </c>
      <c r="AG73" s="29"/>
      <c r="AH73" s="62">
        <v>16</v>
      </c>
      <c r="AI73" s="63"/>
      <c r="AJ73" s="191">
        <f t="shared" ref="AJ73" si="96">SUM(17697/16*0.4*AH73)</f>
        <v>7078.8</v>
      </c>
      <c r="AK73" s="191">
        <f t="shared" ref="AK73" si="97">SUM(17697/16*0.5*AI73)</f>
        <v>0</v>
      </c>
      <c r="AL73" s="63">
        <v>1</v>
      </c>
      <c r="AM73" s="63"/>
      <c r="AN73" s="24">
        <f t="shared" si="91"/>
        <v>8848.5</v>
      </c>
      <c r="AO73" s="24">
        <f t="shared" si="92"/>
        <v>0</v>
      </c>
      <c r="AP73" s="24"/>
      <c r="AQ73" s="24"/>
      <c r="AR73" s="24">
        <f t="shared" si="93"/>
        <v>0</v>
      </c>
      <c r="AS73" s="24"/>
      <c r="AT73" s="192">
        <f t="shared" si="94"/>
        <v>0</v>
      </c>
      <c r="AU73" s="130"/>
      <c r="AV73" s="191">
        <f t="shared" si="95"/>
        <v>0</v>
      </c>
      <c r="AW73" s="129"/>
      <c r="AX73" s="242">
        <f t="shared" si="25"/>
        <v>395306.73749999999</v>
      </c>
    </row>
    <row r="74" spans="1:50" s="15" customFormat="1" ht="34.5" x14ac:dyDescent="0.2">
      <c r="A74" s="193">
        <v>32</v>
      </c>
      <c r="B74" s="125" t="s">
        <v>191</v>
      </c>
      <c r="C74" s="188" t="s">
        <v>19</v>
      </c>
      <c r="D74" s="58" t="s">
        <v>10</v>
      </c>
      <c r="E74" s="22" t="s">
        <v>21</v>
      </c>
      <c r="F74" s="54" t="s">
        <v>26</v>
      </c>
      <c r="G74" s="243">
        <v>4.1399999999999997</v>
      </c>
      <c r="H74" s="59">
        <v>1.02</v>
      </c>
      <c r="I74" s="29">
        <f t="shared" si="14"/>
        <v>73265.579999999987</v>
      </c>
      <c r="J74" s="29">
        <f t="shared" si="15"/>
        <v>18316.394999999997</v>
      </c>
      <c r="K74" s="29">
        <f t="shared" si="16"/>
        <v>91581.974999999977</v>
      </c>
      <c r="L74" s="29">
        <f t="shared" si="17"/>
        <v>183163.94999999995</v>
      </c>
      <c r="M74" s="24"/>
      <c r="N74" s="24"/>
      <c r="O74" s="24">
        <v>15</v>
      </c>
      <c r="P74" s="24"/>
      <c r="Q74" s="24">
        <v>3</v>
      </c>
      <c r="R74" s="189">
        <f t="shared" si="18"/>
        <v>18</v>
      </c>
      <c r="S74" s="27">
        <f t="shared" si="60"/>
        <v>0</v>
      </c>
      <c r="T74" s="27">
        <f t="shared" si="6"/>
        <v>0</v>
      </c>
      <c r="U74" s="27">
        <f t="shared" si="7"/>
        <v>171716.20312499994</v>
      </c>
      <c r="V74" s="27">
        <f t="shared" si="8"/>
        <v>0</v>
      </c>
      <c r="W74" s="27">
        <f t="shared" si="82"/>
        <v>34343.240624999991</v>
      </c>
      <c r="X74" s="27">
        <f t="shared" si="20"/>
        <v>206059.44374999992</v>
      </c>
      <c r="Y74" s="190">
        <f t="shared" si="21"/>
        <v>20605.944374999992</v>
      </c>
      <c r="Z74" s="24">
        <f>SUM(N74+P74)</f>
        <v>0</v>
      </c>
      <c r="AA74" s="24">
        <f t="shared" si="90"/>
        <v>0</v>
      </c>
      <c r="AB74" s="24">
        <f t="shared" si="10"/>
        <v>18</v>
      </c>
      <c r="AC74" s="29">
        <f t="shared" si="11"/>
        <v>61817.833124999983</v>
      </c>
      <c r="AD74" s="29">
        <f t="shared" si="12"/>
        <v>18</v>
      </c>
      <c r="AE74" s="27"/>
      <c r="AF74" s="29">
        <f t="shared" si="39"/>
        <v>0</v>
      </c>
      <c r="AG74" s="29"/>
      <c r="AH74" s="62"/>
      <c r="AI74" s="63"/>
      <c r="AJ74" s="191">
        <f t="shared" si="23"/>
        <v>0</v>
      </c>
      <c r="AK74" s="191">
        <f t="shared" si="24"/>
        <v>0</v>
      </c>
      <c r="AL74" s="63"/>
      <c r="AM74" s="63"/>
      <c r="AN74" s="24">
        <f t="shared" si="91"/>
        <v>0</v>
      </c>
      <c r="AO74" s="24">
        <f t="shared" si="92"/>
        <v>0</v>
      </c>
      <c r="AP74" s="24"/>
      <c r="AQ74" s="24"/>
      <c r="AR74" s="24">
        <f t="shared" si="93"/>
        <v>0</v>
      </c>
      <c r="AS74" s="24">
        <v>1</v>
      </c>
      <c r="AT74" s="192">
        <f t="shared" si="94"/>
        <v>17697</v>
      </c>
      <c r="AU74" s="130"/>
      <c r="AV74" s="191">
        <f t="shared" si="95"/>
        <v>0</v>
      </c>
      <c r="AW74" s="129"/>
      <c r="AX74" s="242">
        <f t="shared" si="25"/>
        <v>306180.22124999989</v>
      </c>
    </row>
    <row r="75" spans="1:50" s="15" customFormat="1" ht="34.5" x14ac:dyDescent="0.2">
      <c r="A75" s="241">
        <v>33</v>
      </c>
      <c r="B75" s="22" t="s">
        <v>173</v>
      </c>
      <c r="C75" s="188" t="s">
        <v>82</v>
      </c>
      <c r="D75" s="58" t="s">
        <v>79</v>
      </c>
      <c r="E75" s="22" t="s">
        <v>106</v>
      </c>
      <c r="F75" s="54" t="s">
        <v>24</v>
      </c>
      <c r="G75" s="243">
        <v>5.03</v>
      </c>
      <c r="H75" s="58">
        <v>17.010000000000002</v>
      </c>
      <c r="I75" s="29">
        <f t="shared" si="14"/>
        <v>89015.91</v>
      </c>
      <c r="J75" s="29">
        <f t="shared" si="15"/>
        <v>22253.977500000001</v>
      </c>
      <c r="K75" s="29">
        <f t="shared" si="16"/>
        <v>111269.88750000001</v>
      </c>
      <c r="L75" s="29">
        <f t="shared" si="17"/>
        <v>222539.77500000002</v>
      </c>
      <c r="M75" s="24"/>
      <c r="N75" s="24"/>
      <c r="O75" s="24">
        <v>10</v>
      </c>
      <c r="P75" s="24"/>
      <c r="Q75" s="24">
        <v>6</v>
      </c>
      <c r="R75" s="189">
        <f t="shared" si="18"/>
        <v>16</v>
      </c>
      <c r="S75" s="27">
        <f t="shared" si="60"/>
        <v>0</v>
      </c>
      <c r="T75" s="27">
        <f t="shared" si="6"/>
        <v>0</v>
      </c>
      <c r="U75" s="27">
        <f t="shared" si="7"/>
        <v>139087.359375</v>
      </c>
      <c r="V75" s="27">
        <f t="shared" si="8"/>
        <v>0</v>
      </c>
      <c r="W75" s="27">
        <f t="shared" si="82"/>
        <v>83452.415625000009</v>
      </c>
      <c r="X75" s="27">
        <f t="shared" si="20"/>
        <v>222539.77500000002</v>
      </c>
      <c r="Y75" s="190">
        <f t="shared" si="21"/>
        <v>22253.977500000005</v>
      </c>
      <c r="Z75" s="24">
        <f>SUM(N75+P75)</f>
        <v>0</v>
      </c>
      <c r="AA75" s="24">
        <f t="shared" si="90"/>
        <v>0</v>
      </c>
      <c r="AB75" s="24">
        <f t="shared" si="10"/>
        <v>16</v>
      </c>
      <c r="AC75" s="29">
        <f t="shared" si="11"/>
        <v>66761.93250000001</v>
      </c>
      <c r="AD75" s="29">
        <f t="shared" si="12"/>
        <v>16</v>
      </c>
      <c r="AE75" s="27">
        <v>40</v>
      </c>
      <c r="AF75" s="29">
        <f t="shared" si="39"/>
        <v>89015.91</v>
      </c>
      <c r="AG75" s="29"/>
      <c r="AH75" s="62">
        <v>18</v>
      </c>
      <c r="AI75" s="24"/>
      <c r="AJ75" s="191">
        <f t="shared" si="23"/>
        <v>7963.6500000000005</v>
      </c>
      <c r="AK75" s="191">
        <f t="shared" si="24"/>
        <v>0</v>
      </c>
      <c r="AL75" s="63"/>
      <c r="AM75" s="63"/>
      <c r="AN75" s="24">
        <f t="shared" si="91"/>
        <v>0</v>
      </c>
      <c r="AO75" s="24">
        <f t="shared" si="92"/>
        <v>0</v>
      </c>
      <c r="AP75" s="24"/>
      <c r="AQ75" s="24"/>
      <c r="AR75" s="24">
        <f t="shared" si="93"/>
        <v>0</v>
      </c>
      <c r="AS75" s="24"/>
      <c r="AT75" s="192">
        <f t="shared" si="94"/>
        <v>0</v>
      </c>
      <c r="AU75" s="130">
        <v>1</v>
      </c>
      <c r="AV75" s="191">
        <f t="shared" si="95"/>
        <v>17697</v>
      </c>
      <c r="AW75" s="129"/>
      <c r="AX75" s="242">
        <f t="shared" si="25"/>
        <v>426232.24500000011</v>
      </c>
    </row>
    <row r="76" spans="1:50" s="15" customFormat="1" ht="34.5" x14ac:dyDescent="0.2">
      <c r="A76" s="193">
        <v>34</v>
      </c>
      <c r="B76" s="125" t="s">
        <v>179</v>
      </c>
      <c r="C76" s="188" t="s">
        <v>238</v>
      </c>
      <c r="D76" s="58" t="s">
        <v>102</v>
      </c>
      <c r="E76" s="22" t="s">
        <v>110</v>
      </c>
      <c r="F76" s="54" t="s">
        <v>186</v>
      </c>
      <c r="G76" s="243">
        <v>3.53</v>
      </c>
      <c r="H76" s="58">
        <v>9.0500000000000007</v>
      </c>
      <c r="I76" s="29">
        <f t="shared" si="14"/>
        <v>62470.409999999996</v>
      </c>
      <c r="J76" s="29">
        <f t="shared" si="15"/>
        <v>15617.602499999999</v>
      </c>
      <c r="K76" s="29">
        <f t="shared" si="16"/>
        <v>78088.012499999997</v>
      </c>
      <c r="L76" s="29">
        <f t="shared" si="17"/>
        <v>156176.02499999999</v>
      </c>
      <c r="M76" s="24">
        <v>8</v>
      </c>
      <c r="N76" s="24"/>
      <c r="O76" s="24">
        <v>0.5</v>
      </c>
      <c r="P76" s="24"/>
      <c r="Q76" s="24"/>
      <c r="R76" s="189">
        <f t="shared" si="18"/>
        <v>8.5</v>
      </c>
      <c r="S76" s="27">
        <f t="shared" si="60"/>
        <v>78088.012499999997</v>
      </c>
      <c r="T76" s="27">
        <f t="shared" si="6"/>
        <v>0</v>
      </c>
      <c r="U76" s="27">
        <f t="shared" si="7"/>
        <v>4880.5007812499998</v>
      </c>
      <c r="V76" s="27">
        <f t="shared" si="8"/>
        <v>0</v>
      </c>
      <c r="W76" s="27">
        <f t="shared" si="82"/>
        <v>0</v>
      </c>
      <c r="X76" s="27">
        <f t="shared" si="20"/>
        <v>82968.513281249994</v>
      </c>
      <c r="Y76" s="190">
        <f t="shared" ref="Y76" si="98">X76*0.1</f>
        <v>8296.8513281249998</v>
      </c>
      <c r="Z76" s="24">
        <f>SUM(N76+P76)</f>
        <v>0</v>
      </c>
      <c r="AA76" s="24">
        <f t="shared" si="90"/>
        <v>0</v>
      </c>
      <c r="AB76" s="24">
        <f t="shared" si="10"/>
        <v>8.5</v>
      </c>
      <c r="AC76" s="29">
        <f t="shared" si="11"/>
        <v>24890.553984374998</v>
      </c>
      <c r="AD76" s="29">
        <f t="shared" si="12"/>
        <v>8.5</v>
      </c>
      <c r="AE76" s="27">
        <v>30</v>
      </c>
      <c r="AF76" s="29">
        <f t="shared" si="39"/>
        <v>24890.553984375001</v>
      </c>
      <c r="AG76" s="29"/>
      <c r="AH76" s="62">
        <v>4</v>
      </c>
      <c r="AI76" s="24"/>
      <c r="AJ76" s="191">
        <f t="shared" ref="AJ76" si="99">SUM(17697/16*0.4*AH76)</f>
        <v>1769.7</v>
      </c>
      <c r="AK76" s="191">
        <f t="shared" ref="AK76" si="100">SUM(17697/16*0.5*AI76)</f>
        <v>0</v>
      </c>
      <c r="AL76" s="63"/>
      <c r="AM76" s="63">
        <v>0.5</v>
      </c>
      <c r="AN76" s="24">
        <f>SUM($I$35*AL76)*0.5</f>
        <v>0</v>
      </c>
      <c r="AO76" s="24">
        <f>SUM($I$35*AM76)*0.6</f>
        <v>5309.0999999999995</v>
      </c>
      <c r="AP76" s="24"/>
      <c r="AQ76" s="24"/>
      <c r="AR76" s="24">
        <f>SUM($I$35*AQ76)</f>
        <v>0</v>
      </c>
      <c r="AS76" s="24"/>
      <c r="AT76" s="192">
        <f>SUM($I$35*AS76)</f>
        <v>0</v>
      </c>
      <c r="AU76" s="130"/>
      <c r="AV76" s="191">
        <f>SUM($I$35*AU76)</f>
        <v>0</v>
      </c>
      <c r="AW76" s="129"/>
      <c r="AX76" s="242">
        <f t="shared" si="25"/>
        <v>148125.27257812503</v>
      </c>
    </row>
    <row r="77" spans="1:50" s="15" customFormat="1" ht="34.5" x14ac:dyDescent="0.2">
      <c r="A77" s="193">
        <v>35</v>
      </c>
      <c r="B77" s="22" t="s">
        <v>77</v>
      </c>
      <c r="C77" s="58" t="s">
        <v>78</v>
      </c>
      <c r="D77" s="58" t="s">
        <v>79</v>
      </c>
      <c r="E77" s="58" t="s">
        <v>167</v>
      </c>
      <c r="F77" s="23" t="s">
        <v>26</v>
      </c>
      <c r="G77" s="188">
        <v>4.7300000000000004</v>
      </c>
      <c r="H77" s="58">
        <v>38.07</v>
      </c>
      <c r="I77" s="29">
        <f>17697*G77</f>
        <v>83706.810000000012</v>
      </c>
      <c r="J77" s="29">
        <f>I77*0.25</f>
        <v>20926.702500000003</v>
      </c>
      <c r="K77" s="29">
        <f>(I77+J77)*1</f>
        <v>104633.51250000001</v>
      </c>
      <c r="L77" s="29">
        <f>(I77+J77)*2</f>
        <v>209267.02500000002</v>
      </c>
      <c r="M77" s="24"/>
      <c r="N77" s="24"/>
      <c r="O77" s="24">
        <v>14</v>
      </c>
      <c r="P77" s="24"/>
      <c r="Q77" s="24">
        <v>6</v>
      </c>
      <c r="R77" s="189">
        <f>SUM(M77:Q77)</f>
        <v>20</v>
      </c>
      <c r="S77" s="27">
        <f t="shared" si="60"/>
        <v>0</v>
      </c>
      <c r="T77" s="27">
        <f t="shared" ref="T77:T79" si="101">N77/16*L77</f>
        <v>0</v>
      </c>
      <c r="U77" s="27">
        <f t="shared" ref="U77:U79" si="102">O77/16*L77</f>
        <v>183108.64687500003</v>
      </c>
      <c r="V77" s="27">
        <f t="shared" ref="V77:V79" si="103">P77/16*L77</f>
        <v>0</v>
      </c>
      <c r="W77" s="27">
        <f>Q77/16*L77</f>
        <v>78475.134375000009</v>
      </c>
      <c r="X77" s="27">
        <f>SUM(S77:W77)</f>
        <v>261583.78125000006</v>
      </c>
      <c r="Y77" s="190">
        <f>X77*0.1</f>
        <v>26158.378125000007</v>
      </c>
      <c r="Z77" s="24">
        <f>SUM(N77+P77)</f>
        <v>0</v>
      </c>
      <c r="AA77" s="24">
        <f t="shared" si="90"/>
        <v>0</v>
      </c>
      <c r="AB77" s="24">
        <f t="shared" si="10"/>
        <v>20</v>
      </c>
      <c r="AC77" s="29">
        <f t="shared" ref="AC77:AC78" si="104">L77*0.3/16*AB77</f>
        <v>78475.134375000009</v>
      </c>
      <c r="AD77" s="29">
        <f t="shared" si="12"/>
        <v>20</v>
      </c>
      <c r="AE77" s="27"/>
      <c r="AF77" s="29">
        <f t="shared" si="39"/>
        <v>0</v>
      </c>
      <c r="AG77" s="29"/>
      <c r="AH77" s="62">
        <v>7.5</v>
      </c>
      <c r="AI77" s="63"/>
      <c r="AJ77" s="191">
        <f>SUM(17697/16*0.4*AH77)</f>
        <v>3318.1875</v>
      </c>
      <c r="AK77" s="191">
        <f>SUM(17697/16*0.5*AI77)</f>
        <v>0</v>
      </c>
      <c r="AL77" s="63"/>
      <c r="AM77" s="63"/>
      <c r="AN77" s="24">
        <f>SUM($I$35*AL77)*0.5</f>
        <v>0</v>
      </c>
      <c r="AO77" s="24">
        <f>SUM($I$35*AM77)*0.6</f>
        <v>0</v>
      </c>
      <c r="AP77" s="24"/>
      <c r="AQ77" s="24"/>
      <c r="AR77" s="24">
        <f>SUM($I$35*AQ77)</f>
        <v>0</v>
      </c>
      <c r="AS77" s="24"/>
      <c r="AT77" s="192">
        <f>SUM($I$35*AS77)</f>
        <v>0</v>
      </c>
      <c r="AU77" s="130"/>
      <c r="AV77" s="191">
        <f>SUM($I$35*AU77)</f>
        <v>0</v>
      </c>
      <c r="AW77" s="129"/>
      <c r="AX77" s="242">
        <f t="shared" si="25"/>
        <v>369535.48125000007</v>
      </c>
    </row>
    <row r="78" spans="1:50" s="15" customFormat="1" ht="34.5" x14ac:dyDescent="0.2">
      <c r="A78" s="193">
        <v>36</v>
      </c>
      <c r="B78" s="245" t="s">
        <v>239</v>
      </c>
      <c r="C78" s="58" t="s">
        <v>82</v>
      </c>
      <c r="D78" s="58" t="s">
        <v>10</v>
      </c>
      <c r="E78" s="58" t="s">
        <v>105</v>
      </c>
      <c r="F78" s="23" t="s">
        <v>25</v>
      </c>
      <c r="G78" s="188">
        <v>4.9000000000000004</v>
      </c>
      <c r="H78" s="58">
        <v>14.03</v>
      </c>
      <c r="I78" s="29">
        <f>17697*G78</f>
        <v>86715.3</v>
      </c>
      <c r="J78" s="29">
        <f>I78*0.25</f>
        <v>21678.825000000001</v>
      </c>
      <c r="K78" s="29">
        <f>(I78+J78)*1</f>
        <v>108394.125</v>
      </c>
      <c r="L78" s="29">
        <f>(I78+J78)*2</f>
        <v>216788.25</v>
      </c>
      <c r="M78" s="24"/>
      <c r="N78" s="24"/>
      <c r="O78" s="24">
        <v>10.5</v>
      </c>
      <c r="P78" s="24">
        <v>4</v>
      </c>
      <c r="Q78" s="24">
        <v>8</v>
      </c>
      <c r="R78" s="189">
        <f>SUM(M78:Q78)</f>
        <v>22.5</v>
      </c>
      <c r="S78" s="27">
        <f t="shared" si="60"/>
        <v>0</v>
      </c>
      <c r="T78" s="27">
        <f t="shared" si="101"/>
        <v>0</v>
      </c>
      <c r="U78" s="27">
        <f t="shared" si="102"/>
        <v>142267.2890625</v>
      </c>
      <c r="V78" s="27">
        <f t="shared" si="103"/>
        <v>54197.0625</v>
      </c>
      <c r="W78" s="27">
        <f>Q78/16*L78</f>
        <v>108394.125</v>
      </c>
      <c r="X78" s="27">
        <f>SUM(S78:W78)</f>
        <v>304858.4765625</v>
      </c>
      <c r="Y78" s="190">
        <f>X78*0.1</f>
        <v>30485.84765625</v>
      </c>
      <c r="Z78" s="24">
        <v>4</v>
      </c>
      <c r="AA78" s="24">
        <f t="shared" si="90"/>
        <v>1769.7</v>
      </c>
      <c r="AB78" s="24">
        <f t="shared" si="10"/>
        <v>22.5</v>
      </c>
      <c r="AC78" s="29">
        <f t="shared" si="104"/>
        <v>91457.54296875</v>
      </c>
      <c r="AD78" s="29">
        <f t="shared" si="12"/>
        <v>22.5</v>
      </c>
      <c r="AE78" s="27">
        <v>35</v>
      </c>
      <c r="AF78" s="29">
        <f t="shared" si="39"/>
        <v>106700.466796875</v>
      </c>
      <c r="AG78" s="29"/>
      <c r="AH78" s="62">
        <v>13</v>
      </c>
      <c r="AI78" s="63"/>
      <c r="AJ78" s="191">
        <f>SUM(17697/16*0.4*AH78)</f>
        <v>5751.5250000000005</v>
      </c>
      <c r="AK78" s="191"/>
      <c r="AL78" s="63"/>
      <c r="AM78" s="63">
        <v>1</v>
      </c>
      <c r="AN78" s="24">
        <f>SUM($I$35*AL78)*0.5</f>
        <v>0</v>
      </c>
      <c r="AO78" s="24">
        <f>SUM($I$35*AM78)*0.6</f>
        <v>10618.199999999999</v>
      </c>
      <c r="AP78" s="24"/>
      <c r="AQ78" s="24"/>
      <c r="AR78" s="24"/>
      <c r="AS78" s="24"/>
      <c r="AT78" s="192"/>
      <c r="AU78" s="130"/>
      <c r="AV78" s="191"/>
      <c r="AW78" s="129"/>
      <c r="AX78" s="242">
        <f t="shared" si="25"/>
        <v>551641.75898437493</v>
      </c>
    </row>
    <row r="79" spans="1:50" s="15" customFormat="1" ht="34.5" x14ac:dyDescent="0.2">
      <c r="A79" s="193">
        <v>37</v>
      </c>
      <c r="B79" s="245" t="s">
        <v>240</v>
      </c>
      <c r="C79" s="58" t="s">
        <v>241</v>
      </c>
      <c r="D79" s="58" t="s">
        <v>10</v>
      </c>
      <c r="E79" s="58" t="s">
        <v>181</v>
      </c>
      <c r="F79" s="23" t="s">
        <v>26</v>
      </c>
      <c r="G79" s="188">
        <v>4.0999999999999996</v>
      </c>
      <c r="H79" s="58">
        <v>0.04</v>
      </c>
      <c r="I79" s="29">
        <f>17697*G79</f>
        <v>72557.7</v>
      </c>
      <c r="J79" s="29">
        <f>I79*0.25</f>
        <v>18139.424999999999</v>
      </c>
      <c r="K79" s="29">
        <f>(I79+J79)*1</f>
        <v>90697.125</v>
      </c>
      <c r="L79" s="29">
        <f>(I79+J79)*2</f>
        <v>181394.25</v>
      </c>
      <c r="M79" s="24"/>
      <c r="N79" s="24"/>
      <c r="O79" s="24">
        <v>9</v>
      </c>
      <c r="P79" s="24"/>
      <c r="Q79" s="24"/>
      <c r="R79" s="189">
        <f>SUM(M79:Q79)</f>
        <v>9</v>
      </c>
      <c r="S79" s="27">
        <f t="shared" si="60"/>
        <v>0</v>
      </c>
      <c r="T79" s="27">
        <f t="shared" si="101"/>
        <v>0</v>
      </c>
      <c r="U79" s="27">
        <f t="shared" si="102"/>
        <v>102034.265625</v>
      </c>
      <c r="V79" s="27">
        <f t="shared" si="103"/>
        <v>0</v>
      </c>
      <c r="W79" s="27">
        <f>Q79/16*L79</f>
        <v>0</v>
      </c>
      <c r="X79" s="27">
        <f>SUM(S79:W79)</f>
        <v>102034.265625</v>
      </c>
      <c r="Y79" s="190">
        <f>X79*0.1</f>
        <v>10203.426562500001</v>
      </c>
      <c r="Z79" s="24"/>
      <c r="AA79" s="24"/>
      <c r="AB79" s="24">
        <f t="shared" si="10"/>
        <v>9</v>
      </c>
      <c r="AC79" s="29">
        <f t="shared" ref="AC79" si="105">L79*0.3/16*AB79</f>
        <v>30610.279687500002</v>
      </c>
      <c r="AD79" s="29">
        <f t="shared" si="12"/>
        <v>9</v>
      </c>
      <c r="AE79" s="27"/>
      <c r="AF79" s="29">
        <f t="shared" ref="AF79" si="106">(L79*AE79/100)/16*AD79</f>
        <v>0</v>
      </c>
      <c r="AG79" s="29"/>
      <c r="AH79" s="62">
        <v>6</v>
      </c>
      <c r="AI79" s="63"/>
      <c r="AJ79" s="191">
        <f>SUM(17697/16*0.4*AH79)</f>
        <v>2654.55</v>
      </c>
      <c r="AK79" s="191"/>
      <c r="AL79" s="63"/>
      <c r="AM79" s="63"/>
      <c r="AN79" s="24"/>
      <c r="AO79" s="24"/>
      <c r="AP79" s="24"/>
      <c r="AQ79" s="24"/>
      <c r="AR79" s="24"/>
      <c r="AS79" s="24"/>
      <c r="AT79" s="192"/>
      <c r="AU79" s="130"/>
      <c r="AV79" s="191"/>
      <c r="AW79" s="129"/>
      <c r="AX79" s="242">
        <f t="shared" si="25"/>
        <v>145502.52187499998</v>
      </c>
    </row>
    <row r="80" spans="1:50" s="13" customFormat="1" ht="34.5" customHeight="1" x14ac:dyDescent="0.25">
      <c r="A80" s="193">
        <v>38</v>
      </c>
      <c r="B80" s="125" t="s">
        <v>272</v>
      </c>
      <c r="C80" s="188" t="s">
        <v>291</v>
      </c>
      <c r="D80" s="58" t="s">
        <v>10</v>
      </c>
      <c r="E80" s="22" t="s">
        <v>274</v>
      </c>
      <c r="F80" s="54" t="s">
        <v>209</v>
      </c>
      <c r="G80" s="243">
        <v>4.7300000000000004</v>
      </c>
      <c r="H80" s="58">
        <v>25.01</v>
      </c>
      <c r="I80" s="29">
        <f t="shared" si="14"/>
        <v>83706.810000000012</v>
      </c>
      <c r="J80" s="29">
        <f t="shared" si="15"/>
        <v>20926.702500000003</v>
      </c>
      <c r="K80" s="29">
        <f t="shared" si="16"/>
        <v>104633.51250000001</v>
      </c>
      <c r="L80" s="29">
        <f t="shared" si="17"/>
        <v>209267.02500000002</v>
      </c>
      <c r="M80" s="24">
        <v>3</v>
      </c>
      <c r="N80" s="24"/>
      <c r="O80" s="24"/>
      <c r="P80" s="24"/>
      <c r="Q80" s="24"/>
      <c r="R80" s="189">
        <f t="shared" si="18"/>
        <v>3</v>
      </c>
      <c r="S80" s="27">
        <f t="shared" si="60"/>
        <v>39237.567187500004</v>
      </c>
      <c r="T80" s="27">
        <f t="shared" si="6"/>
        <v>0</v>
      </c>
      <c r="U80" s="27">
        <f t="shared" si="7"/>
        <v>0</v>
      </c>
      <c r="V80" s="27">
        <f t="shared" si="8"/>
        <v>0</v>
      </c>
      <c r="W80" s="27">
        <f t="shared" si="82"/>
        <v>0</v>
      </c>
      <c r="X80" s="27">
        <f t="shared" ref="X80" si="107">SUM(S80:W80)</f>
        <v>39237.567187500004</v>
      </c>
      <c r="Y80" s="190">
        <f t="shared" ref="Y80" si="108">X80*0.1</f>
        <v>3923.7567187500008</v>
      </c>
      <c r="Z80" s="24">
        <v>0</v>
      </c>
      <c r="AA80" s="24">
        <f t="shared" si="90"/>
        <v>0</v>
      </c>
      <c r="AB80" s="24">
        <f t="shared" si="10"/>
        <v>3</v>
      </c>
      <c r="AC80" s="29">
        <f t="shared" ref="AC80" si="109">L80*0.3/16*AB80</f>
        <v>11771.270156250001</v>
      </c>
      <c r="AD80" s="29">
        <f t="shared" si="12"/>
        <v>3</v>
      </c>
      <c r="AE80" s="27"/>
      <c r="AF80" s="29">
        <f t="shared" si="39"/>
        <v>0</v>
      </c>
      <c r="AG80" s="29"/>
      <c r="AH80" s="62"/>
      <c r="AI80" s="24"/>
      <c r="AJ80" s="191">
        <f t="shared" ref="AJ80" si="110">SUM(17697/16*0.4*AH80)</f>
        <v>0</v>
      </c>
      <c r="AK80" s="191">
        <f t="shared" ref="AK80" si="111">SUM(17697/16*0.5*AI80)</f>
        <v>0</v>
      </c>
      <c r="AL80" s="63"/>
      <c r="AM80" s="63">
        <v>0.5</v>
      </c>
      <c r="AN80" s="24">
        <f>SUM($I$35*AL80)*0.5</f>
        <v>0</v>
      </c>
      <c r="AO80" s="24">
        <f>SUM($I$35*AM80)*0.6</f>
        <v>5309.0999999999995</v>
      </c>
      <c r="AP80" s="24"/>
      <c r="AQ80" s="24"/>
      <c r="AR80" s="24">
        <f>SUM($I$35*AQ80)</f>
        <v>0</v>
      </c>
      <c r="AS80" s="24"/>
      <c r="AT80" s="192">
        <f>SUM($I$35*AS80)</f>
        <v>0</v>
      </c>
      <c r="AU80" s="130"/>
      <c r="AV80" s="191">
        <f>SUM($I$35*AU80)</f>
        <v>0</v>
      </c>
      <c r="AW80" s="129"/>
      <c r="AX80" s="242">
        <f t="shared" si="25"/>
        <v>60241.694062500006</v>
      </c>
    </row>
    <row r="81" spans="1:50" s="13" customFormat="1" ht="34.5" customHeight="1" x14ac:dyDescent="0.25">
      <c r="A81" s="193"/>
      <c r="B81" s="125" t="s">
        <v>175</v>
      </c>
      <c r="C81" s="188" t="s">
        <v>273</v>
      </c>
      <c r="D81" s="58"/>
      <c r="E81" s="22"/>
      <c r="F81" s="54"/>
      <c r="G81" s="243">
        <v>4.7300000000000004</v>
      </c>
      <c r="H81" s="58"/>
      <c r="I81" s="29">
        <f t="shared" si="14"/>
        <v>83706.810000000012</v>
      </c>
      <c r="J81" s="29">
        <f t="shared" si="15"/>
        <v>20926.702500000003</v>
      </c>
      <c r="K81" s="29">
        <f t="shared" si="16"/>
        <v>104633.51250000001</v>
      </c>
      <c r="L81" s="29">
        <f t="shared" si="17"/>
        <v>209267.02500000002</v>
      </c>
      <c r="M81" s="24"/>
      <c r="N81" s="24"/>
      <c r="O81" s="24"/>
      <c r="P81" s="24"/>
      <c r="Q81" s="24">
        <v>3</v>
      </c>
      <c r="R81" s="189">
        <f t="shared" si="18"/>
        <v>3</v>
      </c>
      <c r="S81" s="27"/>
      <c r="T81" s="27">
        <f t="shared" si="6"/>
        <v>0</v>
      </c>
      <c r="U81" s="27">
        <f t="shared" si="7"/>
        <v>0</v>
      </c>
      <c r="V81" s="27">
        <f t="shared" si="8"/>
        <v>0</v>
      </c>
      <c r="W81" s="27"/>
      <c r="X81" s="27">
        <f t="shared" ref="X81" si="112">SUM(S81:W81)</f>
        <v>0</v>
      </c>
      <c r="Y81" s="190">
        <f t="shared" ref="Y81" si="113">X81*0.1</f>
        <v>0</v>
      </c>
      <c r="Z81" s="24"/>
      <c r="AA81" s="24"/>
      <c r="AB81" s="24">
        <f t="shared" ref="AB81" si="114">SUM(R81)</f>
        <v>3</v>
      </c>
      <c r="AC81" s="29">
        <f t="shared" ref="AC81" si="115">L81*0.3/16*AB81</f>
        <v>11771.270156250001</v>
      </c>
      <c r="AD81" s="29"/>
      <c r="AE81" s="27"/>
      <c r="AF81" s="29"/>
      <c r="AG81" s="29"/>
      <c r="AH81" s="62"/>
      <c r="AI81" s="24"/>
      <c r="AJ81" s="191"/>
      <c r="AK81" s="191"/>
      <c r="AL81" s="63"/>
      <c r="AM81" s="63"/>
      <c r="AN81" s="24"/>
      <c r="AO81" s="24"/>
      <c r="AP81" s="24"/>
      <c r="AQ81" s="24"/>
      <c r="AR81" s="24"/>
      <c r="AS81" s="24"/>
      <c r="AT81" s="192"/>
      <c r="AU81" s="130"/>
      <c r="AV81" s="191"/>
      <c r="AW81" s="129"/>
      <c r="AX81" s="242">
        <f t="shared" si="25"/>
        <v>11771.270156250001</v>
      </c>
    </row>
    <row r="82" spans="1:50" s="3" customFormat="1" ht="33.75" customHeight="1" x14ac:dyDescent="0.45">
      <c r="A82" s="193"/>
      <c r="B82" s="189" t="s">
        <v>8</v>
      </c>
      <c r="C82" s="24"/>
      <c r="D82" s="24"/>
      <c r="E82" s="24"/>
      <c r="F82" s="23"/>
      <c r="G82" s="23"/>
      <c r="H82" s="194"/>
      <c r="I82" s="27">
        <f>SUM(I43:I81)</f>
        <v>3228286.7399999998</v>
      </c>
      <c r="J82" s="27">
        <f>SUM(J43:J81)</f>
        <v>807071.68499999994</v>
      </c>
      <c r="K82" s="27">
        <f>SUM(K43:K81)</f>
        <v>4035358.4250000017</v>
      </c>
      <c r="L82" s="27">
        <f>SUM(L43:L81)</f>
        <v>8070716.8500000034</v>
      </c>
      <c r="M82" s="27">
        <f>SUM(M43:M81)</f>
        <v>207</v>
      </c>
      <c r="N82" s="27">
        <f t="shared" ref="N82:AX82" si="116">SUM(N43:N81)</f>
        <v>0</v>
      </c>
      <c r="O82" s="27">
        <f t="shared" si="116"/>
        <v>352</v>
      </c>
      <c r="P82" s="27">
        <f t="shared" si="116"/>
        <v>10</v>
      </c>
      <c r="Q82" s="27">
        <f t="shared" si="116"/>
        <v>102</v>
      </c>
      <c r="R82" s="27">
        <f t="shared" si="116"/>
        <v>671</v>
      </c>
      <c r="S82" s="27">
        <f t="shared" si="116"/>
        <v>2640420.0515625007</v>
      </c>
      <c r="T82" s="27">
        <f t="shared" si="116"/>
        <v>0</v>
      </c>
      <c r="U82" s="27">
        <f t="shared" si="116"/>
        <v>4569489.83203125</v>
      </c>
      <c r="V82" s="27">
        <f t="shared" si="116"/>
        <v>130957.8</v>
      </c>
      <c r="W82" s="27">
        <f t="shared" si="116"/>
        <v>1233729.7640624999</v>
      </c>
      <c r="X82" s="27">
        <f t="shared" si="116"/>
        <v>8574597.4476562496</v>
      </c>
      <c r="Y82" s="27">
        <f t="shared" si="116"/>
        <v>857459.7447656251</v>
      </c>
      <c r="Z82" s="27">
        <f t="shared" si="116"/>
        <v>10</v>
      </c>
      <c r="AA82" s="27">
        <f t="shared" si="116"/>
        <v>4424.25</v>
      </c>
      <c r="AB82" s="27">
        <f t="shared" si="116"/>
        <v>673</v>
      </c>
      <c r="AC82" s="27">
        <f t="shared" si="116"/>
        <v>2612570.7803906254</v>
      </c>
      <c r="AD82" s="27">
        <f t="shared" si="116"/>
        <v>668</v>
      </c>
      <c r="AE82" s="27">
        <f t="shared" si="116"/>
        <v>890</v>
      </c>
      <c r="AF82" s="27">
        <f t="shared" si="116"/>
        <v>2182349.7975000003</v>
      </c>
      <c r="AG82" s="27">
        <f t="shared" si="116"/>
        <v>0</v>
      </c>
      <c r="AH82" s="27">
        <f t="shared" si="116"/>
        <v>186.5</v>
      </c>
      <c r="AI82" s="27">
        <f t="shared" si="116"/>
        <v>98.5</v>
      </c>
      <c r="AJ82" s="27">
        <f t="shared" si="116"/>
        <v>82512.262500000012</v>
      </c>
      <c r="AK82" s="27">
        <f t="shared" si="116"/>
        <v>54473.578125</v>
      </c>
      <c r="AL82" s="27">
        <f t="shared" si="116"/>
        <v>6</v>
      </c>
      <c r="AM82" s="27">
        <f t="shared" si="116"/>
        <v>9</v>
      </c>
      <c r="AN82" s="27">
        <f t="shared" si="116"/>
        <v>53091</v>
      </c>
      <c r="AO82" s="27">
        <f t="shared" si="116"/>
        <v>95563.8</v>
      </c>
      <c r="AP82" s="27">
        <f t="shared" si="116"/>
        <v>0</v>
      </c>
      <c r="AQ82" s="27">
        <f t="shared" si="116"/>
        <v>10</v>
      </c>
      <c r="AR82" s="27">
        <f t="shared" si="116"/>
        <v>36920</v>
      </c>
      <c r="AS82" s="27">
        <f t="shared" si="116"/>
        <v>2</v>
      </c>
      <c r="AT82" s="27">
        <f t="shared" si="116"/>
        <v>35394</v>
      </c>
      <c r="AU82" s="27">
        <f t="shared" si="116"/>
        <v>1</v>
      </c>
      <c r="AV82" s="27">
        <f t="shared" si="116"/>
        <v>17697</v>
      </c>
      <c r="AW82" s="27">
        <f t="shared" si="116"/>
        <v>0</v>
      </c>
      <c r="AX82" s="27">
        <f t="shared" si="116"/>
        <v>14607053.660937497</v>
      </c>
    </row>
    <row r="83" spans="1:50" s="3" customFormat="1" ht="34.5" hidden="1" x14ac:dyDescent="0.45">
      <c r="A83" s="246"/>
      <c r="B83" s="75" t="s">
        <v>212</v>
      </c>
      <c r="C83" s="75"/>
      <c r="D83" s="75" t="s">
        <v>259</v>
      </c>
      <c r="E83" s="236"/>
      <c r="F83" s="75"/>
      <c r="G83" s="75"/>
      <c r="H83" s="75" t="s">
        <v>252</v>
      </c>
      <c r="I83" s="75"/>
      <c r="J83" s="75" t="s">
        <v>253</v>
      </c>
      <c r="K83" s="236"/>
      <c r="L83" s="236"/>
      <c r="M83" s="75" t="s">
        <v>254</v>
      </c>
      <c r="N83" s="236"/>
      <c r="O83" s="236"/>
      <c r="P83" s="75"/>
      <c r="Q83" s="75" t="s">
        <v>255</v>
      </c>
      <c r="R83" s="70"/>
      <c r="S83" s="75"/>
      <c r="T83" s="75"/>
      <c r="U83" s="247"/>
      <c r="V83" s="75" t="s">
        <v>251</v>
      </c>
      <c r="W83" s="75"/>
      <c r="X83" s="248" t="s">
        <v>216</v>
      </c>
      <c r="Y83" s="75"/>
      <c r="Z83" s="236"/>
      <c r="AA83" s="247"/>
      <c r="AB83" s="249"/>
      <c r="AC83" s="236"/>
      <c r="AD83" s="249"/>
      <c r="AE83" s="250"/>
      <c r="AF83" s="250"/>
      <c r="AG83" s="249"/>
      <c r="AH83" s="251"/>
      <c r="AI83" s="251"/>
      <c r="AJ83" s="249"/>
      <c r="AK83" s="249"/>
      <c r="AL83" s="249"/>
      <c r="AM83" s="249"/>
      <c r="AN83" s="249"/>
      <c r="AO83" s="252"/>
      <c r="AP83" s="236"/>
      <c r="AQ83" s="236"/>
      <c r="AR83" s="236"/>
      <c r="AS83" s="236"/>
      <c r="AT83" s="236"/>
      <c r="AU83" s="236"/>
      <c r="AV83" s="236"/>
      <c r="AW83" s="236"/>
      <c r="AX83" s="236"/>
    </row>
    <row r="84" spans="1:50" ht="34.5" x14ac:dyDescent="0.45">
      <c r="A84" s="19"/>
      <c r="B84" s="75" t="s">
        <v>212</v>
      </c>
      <c r="C84" s="75"/>
      <c r="D84" s="75" t="s">
        <v>259</v>
      </c>
      <c r="E84" s="236"/>
      <c r="F84" s="75"/>
      <c r="G84" s="75"/>
      <c r="H84" s="75" t="s">
        <v>252</v>
      </c>
      <c r="I84" s="75"/>
      <c r="J84" s="75" t="s">
        <v>253</v>
      </c>
      <c r="K84" s="236"/>
      <c r="L84" s="236"/>
      <c r="M84" s="75" t="s">
        <v>254</v>
      </c>
      <c r="N84" s="236"/>
      <c r="O84" s="236"/>
      <c r="P84" s="75"/>
      <c r="Q84" s="75" t="s">
        <v>255</v>
      </c>
      <c r="R84" s="70"/>
      <c r="S84" s="75"/>
      <c r="T84" s="75"/>
      <c r="U84" s="247"/>
      <c r="V84" s="75" t="s">
        <v>251</v>
      </c>
      <c r="W84" s="75"/>
      <c r="X84" s="248" t="s">
        <v>216</v>
      </c>
      <c r="Y84" s="75"/>
      <c r="Z84" s="236"/>
      <c r="AA84" s="247"/>
      <c r="AB84" s="249"/>
      <c r="AC84" s="236"/>
      <c r="AD84" s="249"/>
      <c r="AE84" s="250"/>
      <c r="AF84" s="250"/>
      <c r="AG84" s="249"/>
      <c r="AH84" s="251"/>
      <c r="AI84" s="238"/>
      <c r="AJ84" s="237"/>
      <c r="AK84" s="237"/>
      <c r="AL84" s="237"/>
      <c r="AM84" s="237"/>
      <c r="AN84" s="237"/>
      <c r="AO84" s="237"/>
      <c r="AP84" s="236"/>
      <c r="AQ84" s="236"/>
      <c r="AR84" s="236"/>
      <c r="AS84" s="236"/>
      <c r="AT84" s="236"/>
      <c r="AU84" s="236"/>
      <c r="AV84" s="236"/>
      <c r="AW84" s="236"/>
      <c r="AX84" s="236"/>
    </row>
    <row r="85" spans="1:50" ht="34.5" x14ac:dyDescent="0.45">
      <c r="B85" s="75" t="s">
        <v>250</v>
      </c>
      <c r="C85" s="75"/>
      <c r="D85" s="248" t="s">
        <v>258</v>
      </c>
      <c r="E85" s="1"/>
      <c r="F85" s="248"/>
      <c r="G85" s="75"/>
      <c r="H85" s="75" t="s">
        <v>215</v>
      </c>
      <c r="I85" s="75"/>
      <c r="J85" s="75" t="s">
        <v>217</v>
      </c>
      <c r="K85" s="236"/>
      <c r="L85" s="236"/>
      <c r="M85" s="75" t="s">
        <v>256</v>
      </c>
      <c r="N85" s="236"/>
      <c r="O85" s="236"/>
      <c r="P85" s="75"/>
      <c r="Q85" s="75" t="s">
        <v>257</v>
      </c>
      <c r="R85" s="247"/>
      <c r="S85" s="75"/>
      <c r="T85" s="75"/>
      <c r="U85" s="247"/>
      <c r="V85" s="75"/>
      <c r="W85" s="75"/>
      <c r="X85" s="75"/>
      <c r="Y85" s="75"/>
      <c r="Z85" s="75"/>
      <c r="AA85" s="247"/>
      <c r="AB85" s="237"/>
      <c r="AC85" s="237"/>
      <c r="AD85" s="237"/>
      <c r="AE85" s="255"/>
      <c r="AF85" s="255"/>
      <c r="AG85" s="255"/>
      <c r="AH85" s="238"/>
    </row>
    <row r="86" spans="1:50" ht="35.25" x14ac:dyDescent="0.5">
      <c r="B86" s="254"/>
    </row>
  </sheetData>
  <mergeCells count="64">
    <mergeCell ref="AD12:AO12"/>
    <mergeCell ref="AD15:AO15"/>
    <mergeCell ref="AX41:AX42"/>
    <mergeCell ref="AS42:AT42"/>
    <mergeCell ref="AD26:AO26"/>
    <mergeCell ref="AD27:AO27"/>
    <mergeCell ref="AD28:AO28"/>
    <mergeCell ref="AD29:AO29"/>
    <mergeCell ref="AD30:AO30"/>
    <mergeCell ref="AU42:AV42"/>
    <mergeCell ref="AQ42:AR42"/>
    <mergeCell ref="AD25:AO25"/>
    <mergeCell ref="AB41:AC41"/>
    <mergeCell ref="AD31:AO31"/>
    <mergeCell ref="AG41:AG42"/>
    <mergeCell ref="M41:R41"/>
    <mergeCell ref="S41:V41"/>
    <mergeCell ref="X41:X42"/>
    <mergeCell ref="AB32:AO32"/>
    <mergeCell ref="AD41:AF41"/>
    <mergeCell ref="AH41:AK41"/>
    <mergeCell ref="A41:A42"/>
    <mergeCell ref="H41:H42"/>
    <mergeCell ref="K41:K42"/>
    <mergeCell ref="B41:B42"/>
    <mergeCell ref="C41:C42"/>
    <mergeCell ref="D41:D42"/>
    <mergeCell ref="I41:I42"/>
    <mergeCell ref="E41:E42"/>
    <mergeCell ref="J41:J42"/>
    <mergeCell ref="F41:F42"/>
    <mergeCell ref="G41:G42"/>
    <mergeCell ref="AQ6:AQ7"/>
    <mergeCell ref="AR6:AR7"/>
    <mergeCell ref="AS6:AS7"/>
    <mergeCell ref="AB6:AB7"/>
    <mergeCell ref="AD21:AO21"/>
    <mergeCell ref="AD13:AO13"/>
    <mergeCell ref="AD16:AO16"/>
    <mergeCell ref="AD17:AO17"/>
    <mergeCell ref="AD18:AO18"/>
    <mergeCell ref="AD19:AO19"/>
    <mergeCell ref="AD20:AO20"/>
    <mergeCell ref="AD8:AO8"/>
    <mergeCell ref="AP6:AP7"/>
    <mergeCell ref="AD14:AO14"/>
    <mergeCell ref="AC6:AC7"/>
    <mergeCell ref="AD11:AO11"/>
    <mergeCell ref="R3:V4"/>
    <mergeCell ref="M33:R33"/>
    <mergeCell ref="AN42:AO42"/>
    <mergeCell ref="AD2:AO2"/>
    <mergeCell ref="AD3:AO3"/>
    <mergeCell ref="AD4:AO4"/>
    <mergeCell ref="AD5:AO5"/>
    <mergeCell ref="AD6:AO7"/>
    <mergeCell ref="G4:O4"/>
    <mergeCell ref="AD22:AO22"/>
    <mergeCell ref="AD23:AO23"/>
    <mergeCell ref="AD24:AO24"/>
    <mergeCell ref="AD9:AO9"/>
    <mergeCell ref="AD10:AO10"/>
    <mergeCell ref="Y41:Y42"/>
    <mergeCell ref="L41:L42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27" firstPageNumber="0" orientation="landscape" horizontalDpi="300" verticalDpi="300" r:id="rId1"/>
  <headerFooter alignWithMargins="0"/>
  <rowBreaks count="1" manualBreakCount="1">
    <brk id="45" max="51" man="1"/>
  </rowBreaks>
  <colBreaks count="1" manualBreakCount="1">
    <brk id="33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0"/>
  <sheetViews>
    <sheetView view="pageBreakPreview" topLeftCell="A10" zoomScale="82" zoomScaleNormal="100" zoomScaleSheetLayoutView="82" workbookViewId="0">
      <pane xSplit="2" topLeftCell="C1" activePane="topRight" state="frozen"/>
      <selection activeCell="A26" sqref="A26"/>
      <selection pane="topRight" activeCell="J24" sqref="J24"/>
    </sheetView>
  </sheetViews>
  <sheetFormatPr defaultRowHeight="18" x14ac:dyDescent="0.25"/>
  <cols>
    <col min="1" max="1" width="5.42578125" style="1" customWidth="1"/>
    <col min="2" max="2" width="28.28515625" style="1" customWidth="1"/>
    <col min="3" max="3" width="16.28515625" style="1" customWidth="1"/>
    <col min="4" max="4" width="14" style="1" customWidth="1"/>
    <col min="5" max="5" width="15.7109375" style="18" customWidth="1"/>
    <col min="6" max="6" width="10.140625" style="18" customWidth="1"/>
    <col min="7" max="7" width="9" style="18" customWidth="1"/>
    <col min="8" max="8" width="8.7109375" style="18" customWidth="1"/>
    <col min="9" max="9" width="12" style="2" customWidth="1"/>
    <col min="10" max="10" width="11.28515625" style="2" customWidth="1"/>
    <col min="11" max="11" width="12.28515625" style="2" customWidth="1"/>
    <col min="12" max="12" width="14.85546875" style="2" customWidth="1"/>
    <col min="13" max="13" width="8" style="1" customWidth="1"/>
    <col min="14" max="14" width="6.7109375" style="1" customWidth="1"/>
    <col min="15" max="15" width="10.140625" style="1" customWidth="1"/>
    <col min="16" max="16" width="8.140625" style="1" customWidth="1"/>
    <col min="17" max="17" width="8.28515625" style="1" customWidth="1"/>
    <col min="18" max="18" width="8" style="1" customWidth="1"/>
    <col min="19" max="19" width="10.85546875" style="1" customWidth="1"/>
    <col min="20" max="20" width="7.7109375" style="1" customWidth="1"/>
    <col min="21" max="21" width="11.42578125" style="1" customWidth="1"/>
    <col min="22" max="22" width="9.7109375" style="1" customWidth="1"/>
    <col min="23" max="23" width="9.28515625" style="1" customWidth="1"/>
    <col min="24" max="24" width="10.28515625" style="1" customWidth="1"/>
    <col min="25" max="25" width="10.42578125" style="1" customWidth="1"/>
    <col min="26" max="26" width="12" style="1" customWidth="1"/>
    <col min="27" max="27" width="9.42578125" style="1" customWidth="1"/>
    <col min="28" max="28" width="11" style="1" customWidth="1"/>
    <col min="29" max="29" width="10.85546875" style="1" customWidth="1"/>
    <col min="30" max="30" width="8.5703125" style="1" customWidth="1"/>
    <col min="31" max="31" width="6.42578125" style="1" customWidth="1"/>
    <col min="32" max="32" width="8" style="1" customWidth="1"/>
    <col min="33" max="33" width="7.42578125" style="1" customWidth="1"/>
    <col min="34" max="34" width="8.5703125" style="1" customWidth="1"/>
    <col min="35" max="35" width="9.28515625" style="1" customWidth="1"/>
    <col min="36" max="36" width="9" style="1" customWidth="1"/>
    <col min="37" max="37" width="8.42578125" style="1" customWidth="1"/>
    <col min="38" max="39" width="6.140625" style="1" customWidth="1"/>
    <col min="40" max="40" width="6.28515625" style="1" customWidth="1"/>
    <col min="41" max="41" width="9.7109375" style="1" customWidth="1"/>
    <col min="42" max="42" width="9.140625" style="1" customWidth="1"/>
    <col min="43" max="43" width="7.28515625" style="1" customWidth="1"/>
    <col min="44" max="44" width="7.5703125" style="1" customWidth="1"/>
    <col min="45" max="45" width="8.140625" style="1" customWidth="1"/>
    <col min="46" max="46" width="7.85546875" style="1" customWidth="1"/>
    <col min="47" max="47" width="7.28515625" style="1" customWidth="1"/>
    <col min="48" max="48" width="7.140625" style="1" customWidth="1"/>
    <col min="49" max="49" width="9.140625" style="1" customWidth="1"/>
    <col min="50" max="50" width="17.42578125" style="1" customWidth="1"/>
    <col min="51" max="16384" width="9.140625" style="1"/>
  </cols>
  <sheetData>
    <row r="1" spans="1:46" s="36" customFormat="1" ht="33.75" customHeight="1" x14ac:dyDescent="0.4">
      <c r="A1" s="33"/>
      <c r="B1" s="33"/>
      <c r="C1" s="33"/>
      <c r="D1" s="33"/>
      <c r="E1" s="33"/>
      <c r="F1" s="33"/>
      <c r="G1" s="33"/>
      <c r="H1" s="33"/>
      <c r="I1" s="34"/>
      <c r="J1" s="33"/>
      <c r="K1" s="35"/>
      <c r="L1" s="35"/>
      <c r="R1" s="37"/>
      <c r="S1" s="33"/>
      <c r="T1" s="174"/>
      <c r="U1" s="174"/>
      <c r="V1" s="174"/>
      <c r="W1" s="174"/>
      <c r="X1" s="174"/>
      <c r="Y1" s="174"/>
      <c r="Z1" s="166"/>
      <c r="AA1" s="166"/>
      <c r="AB1" s="166"/>
      <c r="AC1" s="166"/>
      <c r="AD1" s="166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3"/>
      <c r="AQ1" s="33"/>
      <c r="AR1" s="38"/>
      <c r="AS1" s="38"/>
      <c r="AT1" s="33"/>
    </row>
    <row r="2" spans="1:46" s="36" customFormat="1" ht="33" customHeight="1" x14ac:dyDescent="0.45">
      <c r="A2" s="33"/>
      <c r="B2" s="138"/>
      <c r="C2" s="138"/>
      <c r="D2" s="138"/>
      <c r="E2" s="139"/>
      <c r="F2" s="139"/>
      <c r="G2" s="110" t="s">
        <v>161</v>
      </c>
      <c r="H2" s="110"/>
      <c r="I2" s="109"/>
      <c r="J2" s="113"/>
      <c r="K2" s="112"/>
      <c r="L2" s="109"/>
      <c r="M2" s="109"/>
      <c r="N2" s="109"/>
      <c r="O2" s="109"/>
      <c r="P2" s="109"/>
      <c r="Q2" s="109"/>
      <c r="R2" s="109" t="s">
        <v>160</v>
      </c>
      <c r="S2" s="109"/>
      <c r="T2" s="109"/>
      <c r="U2" s="109"/>
      <c r="V2" s="109"/>
      <c r="W2" s="109"/>
      <c r="X2" s="39"/>
      <c r="Y2" s="140"/>
      <c r="Z2" s="140"/>
      <c r="AA2" s="39"/>
      <c r="AB2" s="157"/>
      <c r="AC2" s="157"/>
      <c r="AD2" s="316"/>
      <c r="AE2" s="316"/>
      <c r="AF2" s="316"/>
      <c r="AG2" s="316"/>
      <c r="AH2" s="316"/>
      <c r="AI2" s="316"/>
      <c r="AJ2" s="316"/>
      <c r="AK2" s="316"/>
      <c r="AL2" s="317"/>
      <c r="AM2" s="316"/>
      <c r="AN2" s="316"/>
      <c r="AO2" s="316"/>
      <c r="AP2" s="159"/>
      <c r="AQ2" s="34"/>
      <c r="AR2" s="160"/>
      <c r="AS2" s="158"/>
    </row>
    <row r="3" spans="1:46" s="36" customFormat="1" ht="31.5" customHeight="1" x14ac:dyDescent="0.45">
      <c r="A3" s="33"/>
      <c r="B3" s="139"/>
      <c r="C3" s="139"/>
      <c r="D3" s="139"/>
      <c r="E3" s="139"/>
      <c r="F3" s="139"/>
      <c r="G3" s="110"/>
      <c r="H3" s="110"/>
      <c r="I3" s="109"/>
      <c r="J3" s="113"/>
      <c r="K3" s="112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41"/>
      <c r="Y3" s="141"/>
      <c r="Z3" s="141"/>
      <c r="AA3" s="141"/>
      <c r="AB3" s="161"/>
      <c r="AC3" s="161"/>
      <c r="AD3" s="314"/>
      <c r="AE3" s="314"/>
      <c r="AF3" s="314"/>
      <c r="AG3" s="314"/>
      <c r="AH3" s="314"/>
      <c r="AI3" s="314"/>
      <c r="AJ3" s="314"/>
      <c r="AK3" s="314"/>
      <c r="AL3" s="315"/>
      <c r="AM3" s="314"/>
      <c r="AN3" s="314"/>
      <c r="AO3" s="314"/>
      <c r="AP3" s="162"/>
      <c r="AQ3" s="163"/>
      <c r="AR3" s="164"/>
      <c r="AS3" s="165"/>
    </row>
    <row r="4" spans="1:46" s="36" customFormat="1" ht="49.5" customHeight="1" x14ac:dyDescent="0.45">
      <c r="A4" s="33"/>
      <c r="B4" s="139"/>
      <c r="C4" s="139"/>
      <c r="D4" s="139"/>
      <c r="E4" s="139"/>
      <c r="F4" s="139"/>
      <c r="G4" s="269" t="s">
        <v>198</v>
      </c>
      <c r="H4" s="318"/>
      <c r="I4" s="318"/>
      <c r="J4" s="318"/>
      <c r="K4" s="318"/>
      <c r="L4" s="318"/>
      <c r="M4" s="318"/>
      <c r="N4" s="318"/>
      <c r="O4" s="318"/>
      <c r="P4" s="109"/>
      <c r="Q4" s="109"/>
      <c r="R4" s="258" t="s">
        <v>260</v>
      </c>
      <c r="S4" s="258"/>
      <c r="T4" s="258"/>
      <c r="U4" s="258"/>
      <c r="V4" s="258"/>
      <c r="W4" s="258"/>
      <c r="X4" s="258"/>
      <c r="Y4" s="258"/>
      <c r="Z4" s="142"/>
      <c r="AA4" s="142"/>
      <c r="AB4" s="161"/>
      <c r="AC4" s="161"/>
      <c r="AD4" s="314"/>
      <c r="AE4" s="314"/>
      <c r="AF4" s="314"/>
      <c r="AG4" s="314"/>
      <c r="AH4" s="314"/>
      <c r="AI4" s="314"/>
      <c r="AJ4" s="314"/>
      <c r="AK4" s="314"/>
      <c r="AL4" s="315"/>
      <c r="AM4" s="314"/>
      <c r="AN4" s="314"/>
      <c r="AO4" s="314"/>
      <c r="AP4" s="162"/>
      <c r="AQ4" s="163"/>
      <c r="AR4" s="164"/>
      <c r="AS4" s="158"/>
    </row>
    <row r="5" spans="1:46" s="36" customFormat="1" ht="26.25" customHeight="1" x14ac:dyDescent="0.4">
      <c r="A5" s="33"/>
      <c r="B5" s="143"/>
      <c r="C5" s="143"/>
      <c r="D5" s="143"/>
      <c r="E5" s="143"/>
      <c r="F5" s="143"/>
      <c r="G5" s="110"/>
      <c r="H5" s="110"/>
      <c r="I5" s="109"/>
      <c r="J5" s="113"/>
      <c r="K5" s="112"/>
      <c r="L5" s="109"/>
      <c r="M5" s="109"/>
      <c r="N5" s="109"/>
      <c r="O5" s="109"/>
      <c r="P5" s="109"/>
      <c r="Q5" s="109"/>
      <c r="R5" s="258"/>
      <c r="S5" s="258"/>
      <c r="T5" s="258"/>
      <c r="U5" s="258"/>
      <c r="V5" s="258"/>
      <c r="W5" s="258"/>
      <c r="X5" s="258"/>
      <c r="Y5" s="258"/>
      <c r="Z5" s="142"/>
      <c r="AA5" s="142"/>
      <c r="AB5" s="161"/>
      <c r="AC5" s="161"/>
      <c r="AD5" s="314"/>
      <c r="AE5" s="314"/>
      <c r="AF5" s="314"/>
      <c r="AG5" s="314"/>
      <c r="AH5" s="314"/>
      <c r="AI5" s="314"/>
      <c r="AJ5" s="314"/>
      <c r="AK5" s="314"/>
      <c r="AL5" s="315"/>
      <c r="AM5" s="314"/>
      <c r="AN5" s="314"/>
      <c r="AO5" s="314"/>
      <c r="AP5" s="162"/>
      <c r="AQ5" s="163"/>
      <c r="AR5" s="164"/>
      <c r="AS5" s="165"/>
    </row>
    <row r="6" spans="1:46" s="36" customFormat="1" ht="30" customHeight="1" x14ac:dyDescent="0.45">
      <c r="A6" s="33"/>
      <c r="B6" s="139"/>
      <c r="C6" s="139"/>
      <c r="D6" s="139"/>
      <c r="E6" s="139"/>
      <c r="F6" s="139"/>
      <c r="G6" s="110" t="s">
        <v>159</v>
      </c>
      <c r="H6" s="105"/>
      <c r="I6" s="105"/>
      <c r="J6" s="110" t="s">
        <v>199</v>
      </c>
      <c r="K6" s="109"/>
      <c r="L6" s="109"/>
      <c r="M6" s="109"/>
      <c r="N6" s="109"/>
      <c r="O6" s="109"/>
      <c r="P6" s="109"/>
      <c r="Q6" s="109"/>
      <c r="S6" s="109"/>
      <c r="T6" s="109" t="s">
        <v>158</v>
      </c>
      <c r="V6" s="109" t="s">
        <v>219</v>
      </c>
      <c r="W6" s="109"/>
      <c r="X6" s="144"/>
      <c r="Y6" s="144"/>
      <c r="Z6" s="144"/>
      <c r="AA6" s="144"/>
      <c r="AB6" s="319"/>
      <c r="AC6" s="319"/>
      <c r="AD6" s="320"/>
      <c r="AE6" s="320"/>
      <c r="AF6" s="320"/>
      <c r="AG6" s="320"/>
      <c r="AH6" s="320"/>
      <c r="AI6" s="320"/>
      <c r="AJ6" s="320"/>
      <c r="AK6" s="320"/>
      <c r="AL6" s="321"/>
      <c r="AM6" s="320"/>
      <c r="AN6" s="320"/>
      <c r="AO6" s="320"/>
      <c r="AP6" s="322"/>
      <c r="AQ6" s="322"/>
      <c r="AR6" s="322"/>
      <c r="AS6" s="322"/>
    </row>
    <row r="7" spans="1:46" s="36" customFormat="1" ht="30.75" customHeight="1" x14ac:dyDescent="0.45">
      <c r="A7" s="33"/>
      <c r="B7" s="139"/>
      <c r="C7" s="139"/>
      <c r="D7" s="139"/>
      <c r="E7" s="139"/>
      <c r="F7" s="139"/>
      <c r="G7" s="110"/>
      <c r="H7" s="110"/>
      <c r="I7" s="109"/>
      <c r="J7" s="113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44"/>
      <c r="Y7" s="144"/>
      <c r="Z7" s="144"/>
      <c r="AA7" s="144"/>
      <c r="AB7" s="319"/>
      <c r="AC7" s="319"/>
      <c r="AD7" s="320"/>
      <c r="AE7" s="320"/>
      <c r="AF7" s="320"/>
      <c r="AG7" s="320"/>
      <c r="AH7" s="320"/>
      <c r="AI7" s="320"/>
      <c r="AJ7" s="320"/>
      <c r="AK7" s="320"/>
      <c r="AL7" s="321"/>
      <c r="AM7" s="320"/>
      <c r="AN7" s="320"/>
      <c r="AO7" s="320"/>
      <c r="AP7" s="322"/>
      <c r="AQ7" s="322"/>
      <c r="AR7" s="322"/>
      <c r="AS7" s="322"/>
    </row>
    <row r="8" spans="1:46" s="36" customFormat="1" ht="27" customHeight="1" x14ac:dyDescent="0.45">
      <c r="A8" s="33"/>
      <c r="B8" s="139"/>
      <c r="C8" s="139"/>
      <c r="D8" s="139"/>
      <c r="E8" s="139"/>
      <c r="F8" s="139"/>
      <c r="G8" s="110" t="s">
        <v>275</v>
      </c>
      <c r="H8" s="110"/>
      <c r="I8" s="109"/>
      <c r="J8" s="113"/>
      <c r="K8" s="112"/>
      <c r="L8" s="109"/>
      <c r="M8" s="109"/>
      <c r="N8" s="109"/>
      <c r="O8" s="109"/>
      <c r="P8" s="109"/>
      <c r="Q8" s="109"/>
      <c r="R8" s="109" t="s">
        <v>262</v>
      </c>
      <c r="S8" s="109"/>
      <c r="T8" s="109"/>
      <c r="U8" s="109"/>
      <c r="V8" s="109"/>
      <c r="W8" s="109"/>
      <c r="X8" s="145"/>
      <c r="Y8" s="140"/>
      <c r="Z8" s="140"/>
      <c r="AA8" s="39"/>
      <c r="AB8" s="166"/>
      <c r="AC8" s="166"/>
      <c r="AD8" s="323"/>
      <c r="AE8" s="323"/>
      <c r="AF8" s="323"/>
      <c r="AG8" s="323"/>
      <c r="AH8" s="323"/>
      <c r="AI8" s="323"/>
      <c r="AJ8" s="323"/>
      <c r="AK8" s="323"/>
      <c r="AL8" s="324"/>
      <c r="AM8" s="323"/>
      <c r="AN8" s="323"/>
      <c r="AO8" s="323"/>
      <c r="AP8" s="162"/>
      <c r="AQ8" s="167"/>
      <c r="AR8" s="164"/>
      <c r="AS8" s="168"/>
    </row>
    <row r="9" spans="1:46" s="36" customFormat="1" ht="27" customHeight="1" x14ac:dyDescent="0.45">
      <c r="A9" s="33"/>
      <c r="B9" s="139"/>
      <c r="C9" s="139"/>
      <c r="D9" s="139"/>
      <c r="E9" s="139"/>
      <c r="F9" s="140"/>
      <c r="G9" s="140"/>
      <c r="H9" s="140"/>
      <c r="I9" s="140"/>
      <c r="J9" s="140"/>
      <c r="K9" s="140"/>
      <c r="L9" s="140"/>
      <c r="M9" s="140"/>
      <c r="N9" s="140"/>
      <c r="O9" s="139"/>
      <c r="P9" s="139"/>
      <c r="Q9" s="139"/>
      <c r="R9" s="48"/>
      <c r="S9" s="146"/>
      <c r="T9" s="146"/>
      <c r="U9" s="139"/>
      <c r="V9" s="139"/>
      <c r="W9" s="139"/>
      <c r="X9" s="140"/>
      <c r="Y9" s="140"/>
      <c r="Z9" s="140"/>
      <c r="AA9" s="39"/>
      <c r="AB9" s="161"/>
      <c r="AC9" s="161"/>
      <c r="AD9" s="314"/>
      <c r="AE9" s="314"/>
      <c r="AF9" s="314"/>
      <c r="AG9" s="314"/>
      <c r="AH9" s="314"/>
      <c r="AI9" s="314"/>
      <c r="AJ9" s="314"/>
      <c r="AK9" s="314"/>
      <c r="AL9" s="315"/>
      <c r="AM9" s="314"/>
      <c r="AN9" s="314"/>
      <c r="AO9" s="314"/>
      <c r="AP9" s="162"/>
      <c r="AQ9" s="163"/>
      <c r="AR9" s="164"/>
      <c r="AS9" s="169"/>
    </row>
    <row r="10" spans="1:46" s="36" customFormat="1" ht="26.25" customHeight="1" x14ac:dyDescent="0.4">
      <c r="A10" s="33"/>
      <c r="B10" s="33"/>
      <c r="C10" s="33"/>
      <c r="D10" s="33"/>
      <c r="E10" s="33"/>
      <c r="M10" s="33"/>
      <c r="N10" s="33"/>
      <c r="O10" s="49"/>
      <c r="P10" s="49"/>
      <c r="Q10" s="49"/>
      <c r="R10" s="34"/>
      <c r="S10" s="49"/>
      <c r="T10" s="49"/>
      <c r="U10" s="49"/>
      <c r="V10" s="49"/>
      <c r="W10" s="49"/>
      <c r="X10" s="33"/>
      <c r="Y10" s="33"/>
      <c r="Z10" s="38"/>
      <c r="AA10" s="38"/>
      <c r="AB10" s="163"/>
      <c r="AC10" s="163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3"/>
      <c r="AQ10" s="38"/>
      <c r="AR10" s="33"/>
      <c r="AS10" s="170"/>
    </row>
    <row r="11" spans="1:46" s="36" customFormat="1" ht="27.75" customHeight="1" x14ac:dyDescent="0.4">
      <c r="A11" s="33"/>
      <c r="B11" s="33"/>
      <c r="C11" s="33"/>
      <c r="D11" s="33"/>
      <c r="E11" s="33"/>
      <c r="F11" s="49" t="s">
        <v>55</v>
      </c>
      <c r="G11" s="49"/>
      <c r="H11" s="49"/>
      <c r="I11" s="49"/>
      <c r="J11" s="49"/>
      <c r="K11" s="49"/>
      <c r="L11" s="33"/>
      <c r="R11" s="37"/>
      <c r="S11" s="49"/>
      <c r="T11" s="49"/>
      <c r="U11" s="49"/>
      <c r="V11" s="49"/>
      <c r="W11" s="49"/>
      <c r="X11" s="33"/>
      <c r="Y11" s="33"/>
      <c r="Z11" s="38"/>
      <c r="AA11" s="38"/>
      <c r="AB11" s="163"/>
      <c r="AC11" s="163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3"/>
      <c r="AQ11" s="38"/>
      <c r="AR11" s="33"/>
      <c r="AS11" s="170"/>
    </row>
    <row r="12" spans="1:46" s="36" customFormat="1" ht="27" customHeight="1" x14ac:dyDescent="0.4">
      <c r="A12" s="33"/>
      <c r="B12" s="33"/>
      <c r="C12" s="33"/>
      <c r="D12" s="33"/>
      <c r="E12" s="33"/>
      <c r="F12" s="33"/>
      <c r="G12" s="50" t="s">
        <v>57</v>
      </c>
      <c r="H12" s="33"/>
      <c r="I12" s="33"/>
      <c r="J12" s="33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49"/>
      <c r="Y12" s="49"/>
      <c r="Z12" s="38"/>
      <c r="AA12" s="38"/>
      <c r="AB12" s="163"/>
      <c r="AC12" s="163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3"/>
      <c r="AQ12" s="38"/>
      <c r="AR12" s="33"/>
      <c r="AS12" s="170"/>
    </row>
    <row r="13" spans="1:46" s="36" customFormat="1" ht="21.75" customHeight="1" x14ac:dyDescent="0.4">
      <c r="A13" s="33"/>
      <c r="B13" s="33"/>
      <c r="C13" s="33"/>
      <c r="D13" s="33"/>
      <c r="E13" s="33"/>
      <c r="M13" s="33"/>
      <c r="N13" s="33"/>
      <c r="O13" s="33"/>
      <c r="P13" s="33"/>
      <c r="Q13" s="33"/>
      <c r="R13" s="38"/>
      <c r="S13" s="33"/>
      <c r="T13" s="33"/>
      <c r="U13" s="33"/>
      <c r="V13" s="33"/>
      <c r="W13" s="33"/>
      <c r="X13" s="33"/>
      <c r="Y13" s="33"/>
      <c r="Z13" s="38"/>
      <c r="AA13" s="38"/>
      <c r="AB13" s="163"/>
      <c r="AC13" s="163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3"/>
      <c r="AQ13" s="38"/>
      <c r="AR13" s="33"/>
      <c r="AS13" s="170"/>
    </row>
    <row r="14" spans="1:46" s="36" customFormat="1" ht="23.25" customHeight="1" x14ac:dyDescent="0.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8"/>
      <c r="S14" s="33"/>
      <c r="T14" s="33"/>
      <c r="U14" s="33"/>
      <c r="V14" s="33"/>
      <c r="W14" s="33"/>
      <c r="X14" s="33"/>
      <c r="Y14" s="33"/>
      <c r="Z14" s="38"/>
      <c r="AA14" s="38"/>
      <c r="AB14" s="163"/>
      <c r="AC14" s="163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3"/>
      <c r="AQ14" s="38"/>
      <c r="AR14" s="33"/>
      <c r="AS14" s="170"/>
    </row>
    <row r="15" spans="1:46" s="36" customFormat="1" ht="25.5" customHeight="1" x14ac:dyDescent="0.4">
      <c r="A15" s="33"/>
      <c r="B15" s="33"/>
      <c r="C15" s="33"/>
      <c r="D15" s="33"/>
      <c r="E15" s="33"/>
      <c r="F15" s="49"/>
      <c r="G15" s="34" t="s">
        <v>218</v>
      </c>
      <c r="H15" s="33"/>
      <c r="I15" s="33"/>
      <c r="J15" s="50"/>
      <c r="K15" s="49"/>
      <c r="M15" s="33"/>
      <c r="N15" s="33"/>
      <c r="O15" s="33"/>
      <c r="P15" s="33"/>
      <c r="Q15" s="33"/>
      <c r="R15" s="38"/>
      <c r="S15" s="33"/>
      <c r="T15" s="33"/>
      <c r="U15" s="33"/>
      <c r="V15" s="33"/>
      <c r="W15" s="33"/>
      <c r="X15" s="33"/>
      <c r="Y15" s="33"/>
      <c r="Z15" s="38"/>
      <c r="AA15" s="38"/>
      <c r="AB15" s="163"/>
      <c r="AC15" s="163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3"/>
      <c r="AQ15" s="38"/>
      <c r="AR15" s="33"/>
      <c r="AS15" s="170"/>
    </row>
    <row r="16" spans="1:46" s="36" customFormat="1" ht="25.5" customHeight="1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8"/>
      <c r="S16" s="33"/>
      <c r="T16" s="33"/>
      <c r="U16" s="33"/>
      <c r="V16" s="33"/>
      <c r="W16" s="33"/>
      <c r="X16" s="33"/>
      <c r="Y16" s="33"/>
      <c r="Z16" s="38"/>
      <c r="AA16" s="38"/>
      <c r="AB16" s="163"/>
      <c r="AC16" s="163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3"/>
      <c r="AQ16" s="38"/>
      <c r="AR16" s="33"/>
      <c r="AS16" s="170"/>
    </row>
    <row r="17" spans="1:50" s="36" customFormat="1" ht="28.5" customHeight="1" x14ac:dyDescent="0.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8"/>
      <c r="S17" s="33"/>
      <c r="T17" s="33"/>
      <c r="U17" s="33"/>
      <c r="V17" s="33"/>
      <c r="W17" s="33"/>
      <c r="X17" s="33"/>
      <c r="Y17" s="33"/>
      <c r="Z17" s="38"/>
      <c r="AA17" s="38"/>
      <c r="AB17" s="163"/>
      <c r="AC17" s="163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3"/>
      <c r="AQ17" s="38"/>
      <c r="AR17" s="33"/>
      <c r="AS17" s="170"/>
    </row>
    <row r="18" spans="1:50" s="36" customFormat="1" ht="22.5" customHeight="1" x14ac:dyDescent="0.4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8"/>
      <c r="S18" s="33"/>
      <c r="T18" s="33"/>
      <c r="U18" s="33"/>
      <c r="V18" s="33"/>
      <c r="W18" s="33"/>
      <c r="X18" s="33"/>
      <c r="Y18" s="33"/>
      <c r="Z18" s="38"/>
      <c r="AA18" s="38"/>
      <c r="AB18" s="163"/>
      <c r="AC18" s="163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3"/>
      <c r="AQ18" s="38"/>
      <c r="AR18" s="33"/>
      <c r="AS18" s="170"/>
    </row>
    <row r="19" spans="1:50" s="36" customFormat="1" ht="28.5" customHeight="1" x14ac:dyDescent="0.4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8"/>
      <c r="S19" s="33"/>
      <c r="T19" s="33"/>
      <c r="U19" s="33"/>
      <c r="V19" s="33"/>
      <c r="W19" s="33"/>
      <c r="X19" s="33"/>
      <c r="Y19" s="33"/>
      <c r="Z19" s="38"/>
      <c r="AA19" s="38"/>
      <c r="AB19" s="163"/>
      <c r="AC19" s="163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3"/>
      <c r="AQ19" s="38"/>
      <c r="AR19" s="33"/>
      <c r="AS19" s="170"/>
    </row>
    <row r="20" spans="1:50" s="36" customFormat="1" ht="24.75" customHeight="1" x14ac:dyDescent="0.4">
      <c r="A20" s="33"/>
      <c r="B20" s="33"/>
      <c r="C20" s="49" t="s">
        <v>65</v>
      </c>
      <c r="D20" s="49"/>
      <c r="E20" s="49"/>
      <c r="F20" s="33">
        <v>21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8"/>
      <c r="S20" s="33"/>
      <c r="T20" s="33"/>
      <c r="U20" s="33"/>
      <c r="V20" s="33"/>
      <c r="W20" s="33"/>
      <c r="X20" s="33"/>
      <c r="Y20" s="33"/>
      <c r="Z20" s="38"/>
      <c r="AA20" s="38"/>
      <c r="AB20" s="163"/>
      <c r="AC20" s="163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3"/>
      <c r="AQ20" s="38"/>
      <c r="AR20" s="33"/>
      <c r="AS20" s="170"/>
    </row>
    <row r="21" spans="1:50" s="36" customFormat="1" ht="23.25" customHeight="1" x14ac:dyDescent="0.4">
      <c r="A21" s="33"/>
      <c r="B21" s="33"/>
      <c r="C21" s="49"/>
      <c r="D21" s="49"/>
      <c r="E21" s="4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8"/>
      <c r="S21" s="33"/>
      <c r="T21" s="33"/>
      <c r="U21" s="33"/>
      <c r="V21" s="33"/>
      <c r="W21" s="33"/>
      <c r="X21" s="33"/>
      <c r="Y21" s="33"/>
      <c r="Z21" s="38"/>
      <c r="AA21" s="38"/>
      <c r="AB21" s="163"/>
      <c r="AC21" s="163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3"/>
      <c r="AQ21" s="38"/>
      <c r="AR21" s="33"/>
      <c r="AS21" s="170"/>
    </row>
    <row r="22" spans="1:50" s="36" customFormat="1" ht="25.5" customHeight="1" x14ac:dyDescent="0.4">
      <c r="A22" s="33"/>
      <c r="B22" s="33"/>
      <c r="C22" s="49" t="s">
        <v>67</v>
      </c>
      <c r="D22" s="49"/>
      <c r="E22" s="49">
        <v>306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8"/>
      <c r="S22" s="33"/>
      <c r="T22" s="33"/>
      <c r="U22" s="33"/>
      <c r="V22" s="33"/>
      <c r="W22" s="33"/>
      <c r="X22" s="33"/>
      <c r="Y22" s="33"/>
      <c r="Z22" s="38"/>
      <c r="AA22" s="38"/>
      <c r="AB22" s="163"/>
      <c r="AC22" s="164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3"/>
      <c r="AQ22" s="33"/>
      <c r="AR22" s="33"/>
      <c r="AS22" s="170"/>
    </row>
    <row r="23" spans="1:50" s="52" customFormat="1" ht="22.5" customHeight="1" x14ac:dyDescent="0.4">
      <c r="B23" s="53"/>
      <c r="AB23" s="163"/>
      <c r="AC23" s="171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172"/>
      <c r="AQ23" s="173"/>
      <c r="AR23" s="172"/>
      <c r="AS23" s="170"/>
    </row>
    <row r="24" spans="1:50" s="3" customFormat="1" ht="24.75" customHeight="1" x14ac:dyDescent="0.45">
      <c r="A24" s="5"/>
      <c r="B24" s="8"/>
      <c r="C24" s="8"/>
      <c r="D24" s="8"/>
      <c r="E24" s="20"/>
      <c r="F24" s="20"/>
      <c r="G24" s="20"/>
      <c r="H24" s="20"/>
      <c r="I24" s="9"/>
      <c r="J24" s="9"/>
      <c r="K24" s="9"/>
      <c r="L24" s="9"/>
      <c r="M24" s="326" t="s">
        <v>264</v>
      </c>
      <c r="N24" s="326"/>
      <c r="O24" s="326"/>
      <c r="P24" s="326"/>
      <c r="Q24" s="326"/>
      <c r="R24" s="32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5"/>
      <c r="AK24" s="5"/>
      <c r="AL24" s="5"/>
      <c r="AM24" s="5"/>
      <c r="AN24" s="5"/>
      <c r="AO24" s="5"/>
    </row>
    <row r="25" spans="1:50" s="3" customFormat="1" ht="28.5" customHeight="1" x14ac:dyDescent="0.45">
      <c r="A25" s="5"/>
      <c r="B25" s="8"/>
      <c r="C25" s="8"/>
      <c r="D25" s="8"/>
      <c r="E25" s="20"/>
      <c r="F25" s="20"/>
      <c r="G25" s="20"/>
      <c r="H25" s="20"/>
      <c r="I25" s="9"/>
      <c r="J25" s="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7"/>
      <c r="AJ25" s="5"/>
      <c r="AK25" s="5"/>
      <c r="AL25" s="5"/>
      <c r="AM25" s="5"/>
      <c r="AN25" s="5"/>
      <c r="AO25" s="5"/>
    </row>
    <row r="26" spans="1:50" s="3" customFormat="1" ht="22.5" customHeight="1" x14ac:dyDescent="0.45">
      <c r="A26" s="5"/>
      <c r="B26" s="5"/>
      <c r="C26" s="5"/>
      <c r="D26" s="5"/>
      <c r="E26" s="19"/>
      <c r="F26" s="19"/>
      <c r="G26" s="19"/>
      <c r="H26" s="19"/>
      <c r="I26" s="6">
        <v>17697</v>
      </c>
      <c r="J26" s="6"/>
      <c r="K26" s="6"/>
      <c r="L26" s="6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Q26">
        <v>3450</v>
      </c>
      <c r="AR26"/>
      <c r="AS26"/>
    </row>
    <row r="27" spans="1:50" s="3" customFormat="1" ht="1.5" hidden="1" customHeight="1" x14ac:dyDescent="0.45">
      <c r="A27" s="5"/>
      <c r="B27" s="5"/>
      <c r="C27" s="5"/>
      <c r="D27" s="5"/>
      <c r="E27" s="19"/>
      <c r="F27" s="19"/>
      <c r="G27" s="19"/>
      <c r="H27" s="19"/>
      <c r="I27" s="6"/>
      <c r="J27" s="6"/>
      <c r="K27" s="6"/>
      <c r="L27" s="6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50" s="3" customFormat="1" ht="34.5" hidden="1" customHeight="1" x14ac:dyDescent="0.45">
      <c r="A28" s="5"/>
      <c r="B28" s="5"/>
      <c r="C28" s="5"/>
      <c r="D28" s="5"/>
      <c r="E28" s="19"/>
      <c r="F28" s="19"/>
      <c r="G28" s="19"/>
      <c r="H28" s="19"/>
      <c r="I28" s="6"/>
      <c r="J28" s="6"/>
      <c r="K28" s="6"/>
      <c r="L28" s="6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50" s="3" customFormat="1" ht="34.5" hidden="1" customHeight="1" x14ac:dyDescent="0.45">
      <c r="A29" s="5"/>
      <c r="B29" s="5"/>
      <c r="C29" s="5"/>
      <c r="D29" s="5"/>
      <c r="E29" s="19"/>
      <c r="F29" s="19"/>
      <c r="G29" s="19"/>
      <c r="H29" s="19"/>
      <c r="I29" s="6"/>
      <c r="J29" s="6"/>
      <c r="K29" s="6"/>
      <c r="L29" s="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50" s="3" customFormat="1" ht="32.25" hidden="1" customHeight="1" thickBot="1" x14ac:dyDescent="0.5">
      <c r="A30" s="5"/>
      <c r="B30" s="5"/>
      <c r="C30" s="5"/>
      <c r="D30" s="5"/>
      <c r="E30" s="19"/>
      <c r="F30" s="19"/>
      <c r="G30" s="19"/>
      <c r="H30" s="19"/>
      <c r="I30" s="6"/>
      <c r="J30" s="6"/>
      <c r="K30" s="6"/>
      <c r="L30" s="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50" s="3" customFormat="1" ht="34.5" hidden="1" customHeight="1" x14ac:dyDescent="0.45">
      <c r="A31" s="5"/>
      <c r="B31" s="5"/>
      <c r="C31" s="5"/>
      <c r="D31" s="5"/>
      <c r="E31" s="19"/>
      <c r="F31" s="19"/>
      <c r="G31" s="19"/>
      <c r="H31" s="19"/>
      <c r="I31" s="6"/>
      <c r="J31" s="6"/>
      <c r="K31" s="6"/>
      <c r="L31" s="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50" s="3" customFormat="1" ht="42.75" customHeight="1" x14ac:dyDescent="0.45">
      <c r="A32" s="284" t="s">
        <v>3</v>
      </c>
      <c r="B32" s="287" t="s">
        <v>4</v>
      </c>
      <c r="C32" s="287" t="s">
        <v>16</v>
      </c>
      <c r="D32" s="287" t="s">
        <v>17</v>
      </c>
      <c r="E32" s="288" t="s">
        <v>23</v>
      </c>
      <c r="F32" s="291" t="s">
        <v>5</v>
      </c>
      <c r="G32" s="291" t="s">
        <v>6</v>
      </c>
      <c r="H32" s="285" t="s">
        <v>14</v>
      </c>
      <c r="I32" s="273" t="s">
        <v>9</v>
      </c>
      <c r="J32" s="290" t="s">
        <v>40</v>
      </c>
      <c r="K32" s="273" t="s">
        <v>178</v>
      </c>
      <c r="L32" s="273" t="s">
        <v>164</v>
      </c>
      <c r="M32" s="296"/>
      <c r="N32" s="296"/>
      <c r="O32" s="296"/>
      <c r="P32" s="296"/>
      <c r="Q32" s="296"/>
      <c r="R32" s="297"/>
      <c r="S32" s="298"/>
      <c r="T32" s="298"/>
      <c r="U32" s="298"/>
      <c r="V32" s="298"/>
      <c r="W32" s="176"/>
      <c r="X32" s="299" t="s">
        <v>28</v>
      </c>
      <c r="Y32" s="271">
        <v>0.1</v>
      </c>
      <c r="Z32" s="67" t="s">
        <v>36</v>
      </c>
      <c r="AA32" s="68"/>
      <c r="AB32" s="292" t="s">
        <v>29</v>
      </c>
      <c r="AC32" s="292"/>
      <c r="AD32" s="303" t="s">
        <v>30</v>
      </c>
      <c r="AE32" s="304"/>
      <c r="AF32" s="305"/>
      <c r="AG32" s="294" t="s">
        <v>31</v>
      </c>
      <c r="AH32" s="306"/>
      <c r="AI32" s="307"/>
      <c r="AJ32" s="307"/>
      <c r="AK32" s="308"/>
      <c r="AL32" s="177"/>
      <c r="AM32" s="177"/>
      <c r="AN32" s="178" t="s">
        <v>7</v>
      </c>
      <c r="AO32" s="179"/>
      <c r="AP32" s="179"/>
      <c r="AQ32" s="179"/>
      <c r="AR32" s="179"/>
      <c r="AS32" s="179"/>
      <c r="AT32" s="179"/>
      <c r="AU32" s="180"/>
      <c r="AV32" s="180"/>
      <c r="AW32" s="181"/>
      <c r="AX32" s="327" t="s">
        <v>15</v>
      </c>
    </row>
    <row r="33" spans="1:50" s="3" customFormat="1" ht="171" customHeight="1" x14ac:dyDescent="0.45">
      <c r="A33" s="284"/>
      <c r="B33" s="287"/>
      <c r="C33" s="287"/>
      <c r="D33" s="287"/>
      <c r="E33" s="289"/>
      <c r="F33" s="291"/>
      <c r="G33" s="291"/>
      <c r="H33" s="286"/>
      <c r="I33" s="274"/>
      <c r="J33" s="289"/>
      <c r="K33" s="274"/>
      <c r="L33" s="274"/>
      <c r="M33" s="30" t="s">
        <v>11</v>
      </c>
      <c r="N33" s="30" t="s">
        <v>111</v>
      </c>
      <c r="O33" s="30" t="s">
        <v>12</v>
      </c>
      <c r="P33" s="30" t="s">
        <v>112</v>
      </c>
      <c r="Q33" s="30" t="s">
        <v>207</v>
      </c>
      <c r="R33" s="30" t="s">
        <v>208</v>
      </c>
      <c r="S33" s="30" t="s">
        <v>11</v>
      </c>
      <c r="T33" s="30" t="s">
        <v>113</v>
      </c>
      <c r="U33" s="30" t="s">
        <v>12</v>
      </c>
      <c r="V33" s="30" t="s">
        <v>114</v>
      </c>
      <c r="W33" s="30" t="s">
        <v>207</v>
      </c>
      <c r="X33" s="300"/>
      <c r="Y33" s="272"/>
      <c r="Z33" s="28" t="s">
        <v>37</v>
      </c>
      <c r="AA33" s="28" t="s">
        <v>38</v>
      </c>
      <c r="AB33" s="28" t="s">
        <v>32</v>
      </c>
      <c r="AC33" s="28" t="s">
        <v>33</v>
      </c>
      <c r="AD33" s="182" t="s">
        <v>73</v>
      </c>
      <c r="AE33" s="31" t="s">
        <v>34</v>
      </c>
      <c r="AF33" s="183" t="s">
        <v>35</v>
      </c>
      <c r="AG33" s="295"/>
      <c r="AH33" s="30" t="s">
        <v>41</v>
      </c>
      <c r="AI33" s="55" t="s">
        <v>74</v>
      </c>
      <c r="AJ33" s="184">
        <v>0.4</v>
      </c>
      <c r="AK33" s="184">
        <v>0.5</v>
      </c>
      <c r="AL33" s="185" t="s">
        <v>76</v>
      </c>
      <c r="AM33" s="185" t="s">
        <v>75</v>
      </c>
      <c r="AN33" s="260" t="s">
        <v>42</v>
      </c>
      <c r="AO33" s="261"/>
      <c r="AP33" s="175" t="s">
        <v>18</v>
      </c>
      <c r="AQ33" s="260" t="s">
        <v>43</v>
      </c>
      <c r="AR33" s="261"/>
      <c r="AS33" s="260" t="s">
        <v>166</v>
      </c>
      <c r="AT33" s="309"/>
      <c r="AU33" s="260" t="s">
        <v>189</v>
      </c>
      <c r="AV33" s="309"/>
      <c r="AW33" s="186" t="s">
        <v>13</v>
      </c>
      <c r="AX33" s="328"/>
    </row>
    <row r="34" spans="1:50" s="15" customFormat="1" ht="34.5" x14ac:dyDescent="0.2">
      <c r="A34" s="187">
        <v>1</v>
      </c>
      <c r="B34" s="22" t="s">
        <v>80</v>
      </c>
      <c r="C34" s="58" t="s">
        <v>72</v>
      </c>
      <c r="D34" s="58" t="s">
        <v>79</v>
      </c>
      <c r="E34" s="58" t="s">
        <v>105</v>
      </c>
      <c r="F34" s="23" t="s">
        <v>24</v>
      </c>
      <c r="G34" s="188">
        <v>5.2</v>
      </c>
      <c r="H34" s="59">
        <v>32</v>
      </c>
      <c r="I34" s="29">
        <f t="shared" ref="I34:I35" si="0">17697*G34</f>
        <v>92024.400000000009</v>
      </c>
      <c r="J34" s="29">
        <f t="shared" ref="J34:J35" si="1">I34*0.25</f>
        <v>23006.100000000002</v>
      </c>
      <c r="K34" s="29">
        <f t="shared" ref="K34:K35" si="2">(I34+J34)*1</f>
        <v>115030.50000000001</v>
      </c>
      <c r="L34" s="29">
        <f t="shared" ref="L34:L35" si="3">(I34+J34)*2</f>
        <v>230061.00000000003</v>
      </c>
      <c r="M34" s="24"/>
      <c r="N34" s="24"/>
      <c r="O34" s="61">
        <v>1</v>
      </c>
      <c r="P34" s="61"/>
      <c r="Q34" s="61"/>
      <c r="R34" s="189">
        <f t="shared" ref="R34:R35" si="4">SUM(M34:Q34)</f>
        <v>1</v>
      </c>
      <c r="S34" s="27">
        <f t="shared" ref="S34:S35" si="5">M34/16*L34</f>
        <v>0</v>
      </c>
      <c r="T34" s="27">
        <f t="shared" ref="T34:T35" si="6">N34/16*L34</f>
        <v>0</v>
      </c>
      <c r="U34" s="27">
        <f t="shared" ref="U34:U35" si="7">O34/16*L34</f>
        <v>14378.812500000002</v>
      </c>
      <c r="V34" s="27">
        <f t="shared" ref="V34:V35" si="8">P34/16*L34</f>
        <v>0</v>
      </c>
      <c r="W34" s="27">
        <f t="shared" ref="W34:W35" si="9">Q34/16*L34</f>
        <v>0</v>
      </c>
      <c r="X34" s="27">
        <f t="shared" ref="X34:X35" si="10">SUM(S34:W34)</f>
        <v>14378.812500000002</v>
      </c>
      <c r="Y34" s="190"/>
      <c r="Z34" s="24">
        <f t="shared" ref="Z34:Z35" si="11">SUM(N34+P34)</f>
        <v>0</v>
      </c>
      <c r="AA34" s="24">
        <f t="shared" ref="AA34" si="12">SUM(($I$26/16)*Z34)*0.4</f>
        <v>0</v>
      </c>
      <c r="AB34" s="24"/>
      <c r="AC34" s="29">
        <f t="shared" ref="AC34:AC35" si="13">L34*0.3/16*AB34</f>
        <v>0</v>
      </c>
      <c r="AD34" s="29"/>
      <c r="AE34" s="27">
        <v>35</v>
      </c>
      <c r="AF34" s="29">
        <f t="shared" ref="AF34:AF35" si="14">(L34*AE34/100)/16*AD34</f>
        <v>0</v>
      </c>
      <c r="AG34" s="29"/>
      <c r="AH34" s="62"/>
      <c r="AI34" s="63"/>
      <c r="AJ34" s="191">
        <f t="shared" ref="AJ34:AJ35" si="15">SUM(17697/16*0.4*AH34)</f>
        <v>0</v>
      </c>
      <c r="AK34" s="191">
        <f t="shared" ref="AK34:AK35" si="16">SUM(17697/16*0.5*AI34)</f>
        <v>0</v>
      </c>
      <c r="AL34" s="63"/>
      <c r="AM34" s="63"/>
      <c r="AN34" s="24">
        <f>SUM($I$26*AL34)*0.5</f>
        <v>0</v>
      </c>
      <c r="AO34" s="24">
        <f>SUM($I$26*AM34)*0.6</f>
        <v>0</v>
      </c>
      <c r="AP34" s="24"/>
      <c r="AQ34" s="24"/>
      <c r="AR34" s="24">
        <f>SUM($I$26*AQ34)</f>
        <v>0</v>
      </c>
      <c r="AS34" s="24"/>
      <c r="AT34" s="192">
        <f>SUM($I$26*AS34)</f>
        <v>0</v>
      </c>
      <c r="AU34" s="130"/>
      <c r="AV34" s="191">
        <f>SUM($I$26*AU34)</f>
        <v>0</v>
      </c>
      <c r="AW34" s="129"/>
      <c r="AX34" s="26">
        <f>X34+Y34+AA34+AC34+AF34+AG34+AJ34+AK34+AN34+AO34+AP34+AR34+AT34+AW34</f>
        <v>14378.812500000002</v>
      </c>
    </row>
    <row r="35" spans="1:50" s="21" customFormat="1" ht="34.5" x14ac:dyDescent="0.2">
      <c r="A35" s="193">
        <v>2</v>
      </c>
      <c r="B35" s="126" t="s">
        <v>86</v>
      </c>
      <c r="C35" s="58" t="s">
        <v>170</v>
      </c>
      <c r="D35" s="58" t="s">
        <v>79</v>
      </c>
      <c r="E35" s="58" t="s">
        <v>188</v>
      </c>
      <c r="F35" s="23" t="s">
        <v>24</v>
      </c>
      <c r="G35" s="188">
        <v>5.2</v>
      </c>
      <c r="H35" s="58">
        <v>33.049999999999997</v>
      </c>
      <c r="I35" s="29">
        <f t="shared" si="0"/>
        <v>92024.400000000009</v>
      </c>
      <c r="J35" s="29">
        <f t="shared" si="1"/>
        <v>23006.100000000002</v>
      </c>
      <c r="K35" s="29">
        <f t="shared" si="2"/>
        <v>115030.50000000001</v>
      </c>
      <c r="L35" s="29">
        <f t="shared" si="3"/>
        <v>230061.00000000003</v>
      </c>
      <c r="M35" s="61"/>
      <c r="N35" s="61"/>
      <c r="O35" s="61">
        <v>1</v>
      </c>
      <c r="P35" s="61"/>
      <c r="Q35" s="61"/>
      <c r="R35" s="189">
        <f t="shared" si="4"/>
        <v>1</v>
      </c>
      <c r="S35" s="27">
        <f t="shared" si="5"/>
        <v>0</v>
      </c>
      <c r="T35" s="27">
        <f t="shared" si="6"/>
        <v>0</v>
      </c>
      <c r="U35" s="27">
        <f t="shared" si="7"/>
        <v>14378.812500000002</v>
      </c>
      <c r="V35" s="27">
        <f t="shared" si="8"/>
        <v>0</v>
      </c>
      <c r="W35" s="27">
        <f t="shared" si="9"/>
        <v>0</v>
      </c>
      <c r="X35" s="27">
        <f t="shared" si="10"/>
        <v>14378.812500000002</v>
      </c>
      <c r="Y35" s="190"/>
      <c r="Z35" s="24">
        <f t="shared" si="11"/>
        <v>0</v>
      </c>
      <c r="AA35" s="24">
        <f t="shared" ref="AA35" si="17">SUM(($I$26/16)*Z35)*0.4</f>
        <v>0</v>
      </c>
      <c r="AB35" s="24"/>
      <c r="AC35" s="29">
        <f t="shared" si="13"/>
        <v>0</v>
      </c>
      <c r="AD35" s="29"/>
      <c r="AE35" s="27">
        <v>30</v>
      </c>
      <c r="AF35" s="29">
        <f t="shared" si="14"/>
        <v>0</v>
      </c>
      <c r="AG35" s="29"/>
      <c r="AH35" s="62"/>
      <c r="AI35" s="63"/>
      <c r="AJ35" s="191">
        <f t="shared" si="15"/>
        <v>0</v>
      </c>
      <c r="AK35" s="191">
        <f t="shared" si="16"/>
        <v>0</v>
      </c>
      <c r="AL35" s="63"/>
      <c r="AM35" s="63"/>
      <c r="AN35" s="24">
        <f t="shared" ref="AN35" si="18">SUM($I$26*AL35)*0.5</f>
        <v>0</v>
      </c>
      <c r="AO35" s="24">
        <f t="shared" ref="AO35" si="19">SUM($I$26*AM35)*0.6</f>
        <v>0</v>
      </c>
      <c r="AP35" s="24"/>
      <c r="AQ35" s="24"/>
      <c r="AR35" s="24">
        <f>SUM($AQ$26*AQ35)</f>
        <v>0</v>
      </c>
      <c r="AS35" s="24"/>
      <c r="AT35" s="192">
        <f t="shared" ref="AT35" si="20">SUM($I$26*AS35)</f>
        <v>0</v>
      </c>
      <c r="AU35" s="130"/>
      <c r="AV35" s="191">
        <f t="shared" ref="AV35" si="21">SUM($I$26*AU35)</f>
        <v>0</v>
      </c>
      <c r="AW35" s="129"/>
      <c r="AX35" s="26">
        <f>X35+Y35+AA35+AC35+AF35+AG35+AJ35+AK35+AN35+AO35+AP35+AR35+AT35+AW35</f>
        <v>14378.812500000002</v>
      </c>
    </row>
    <row r="36" spans="1:50" s="13" customFormat="1" ht="34.5" customHeight="1" x14ac:dyDescent="0.25">
      <c r="A36" s="193"/>
      <c r="B36" s="189" t="s">
        <v>8</v>
      </c>
      <c r="C36" s="24"/>
      <c r="D36" s="24"/>
      <c r="E36" s="24"/>
      <c r="F36" s="23"/>
      <c r="G36" s="23"/>
      <c r="H36" s="194"/>
      <c r="I36" s="27">
        <f t="shared" ref="I36:AX36" si="22">SUM(I34:I35)</f>
        <v>184048.80000000002</v>
      </c>
      <c r="J36" s="27">
        <f t="shared" si="22"/>
        <v>46012.200000000004</v>
      </c>
      <c r="K36" s="27">
        <f t="shared" si="22"/>
        <v>230061.00000000003</v>
      </c>
      <c r="L36" s="27">
        <f t="shared" si="22"/>
        <v>460122.00000000006</v>
      </c>
      <c r="M36" s="27">
        <f t="shared" si="22"/>
        <v>0</v>
      </c>
      <c r="N36" s="27">
        <f t="shared" si="22"/>
        <v>0</v>
      </c>
      <c r="O36" s="27">
        <f t="shared" si="22"/>
        <v>2</v>
      </c>
      <c r="P36" s="27">
        <f t="shared" si="22"/>
        <v>0</v>
      </c>
      <c r="Q36" s="27">
        <f t="shared" si="22"/>
        <v>0</v>
      </c>
      <c r="R36" s="27">
        <f t="shared" si="22"/>
        <v>2</v>
      </c>
      <c r="S36" s="27">
        <f t="shared" si="22"/>
        <v>0</v>
      </c>
      <c r="T36" s="27">
        <f t="shared" si="22"/>
        <v>0</v>
      </c>
      <c r="U36" s="27">
        <f t="shared" si="22"/>
        <v>28757.625000000004</v>
      </c>
      <c r="V36" s="27">
        <f t="shared" si="22"/>
        <v>0</v>
      </c>
      <c r="W36" s="27">
        <f t="shared" si="22"/>
        <v>0</v>
      </c>
      <c r="X36" s="27">
        <f t="shared" si="22"/>
        <v>28757.625000000004</v>
      </c>
      <c r="Y36" s="27">
        <f t="shared" si="22"/>
        <v>0</v>
      </c>
      <c r="Z36" s="27">
        <f t="shared" si="22"/>
        <v>0</v>
      </c>
      <c r="AA36" s="27">
        <f t="shared" si="22"/>
        <v>0</v>
      </c>
      <c r="AB36" s="27">
        <f t="shared" si="22"/>
        <v>0</v>
      </c>
      <c r="AC36" s="27">
        <f t="shared" si="22"/>
        <v>0</v>
      </c>
      <c r="AD36" s="27">
        <f t="shared" si="22"/>
        <v>0</v>
      </c>
      <c r="AE36" s="27">
        <f t="shared" si="22"/>
        <v>65</v>
      </c>
      <c r="AF36" s="27">
        <f t="shared" si="22"/>
        <v>0</v>
      </c>
      <c r="AG36" s="27">
        <f t="shared" si="22"/>
        <v>0</v>
      </c>
      <c r="AH36" s="27">
        <f t="shared" si="22"/>
        <v>0</v>
      </c>
      <c r="AI36" s="27">
        <f t="shared" si="22"/>
        <v>0</v>
      </c>
      <c r="AJ36" s="27">
        <f t="shared" si="22"/>
        <v>0</v>
      </c>
      <c r="AK36" s="27">
        <f t="shared" si="22"/>
        <v>0</v>
      </c>
      <c r="AL36" s="27">
        <f t="shared" si="22"/>
        <v>0</v>
      </c>
      <c r="AM36" s="27">
        <f t="shared" si="22"/>
        <v>0</v>
      </c>
      <c r="AN36" s="27">
        <f t="shared" si="22"/>
        <v>0</v>
      </c>
      <c r="AO36" s="27">
        <f t="shared" si="22"/>
        <v>0</v>
      </c>
      <c r="AP36" s="27">
        <f t="shared" si="22"/>
        <v>0</v>
      </c>
      <c r="AQ36" s="27">
        <f t="shared" si="22"/>
        <v>0</v>
      </c>
      <c r="AR36" s="27">
        <f t="shared" si="22"/>
        <v>0</v>
      </c>
      <c r="AS36" s="27">
        <f t="shared" si="22"/>
        <v>0</v>
      </c>
      <c r="AT36" s="27">
        <f t="shared" si="22"/>
        <v>0</v>
      </c>
      <c r="AU36" s="27">
        <f t="shared" si="22"/>
        <v>0</v>
      </c>
      <c r="AV36" s="27">
        <f t="shared" si="22"/>
        <v>0</v>
      </c>
      <c r="AW36" s="27">
        <f t="shared" si="22"/>
        <v>0</v>
      </c>
      <c r="AX36" s="25">
        <f t="shared" si="22"/>
        <v>28757.625000000004</v>
      </c>
    </row>
    <row r="37" spans="1:50" s="3" customFormat="1" ht="33.75" customHeight="1" x14ac:dyDescent="0.45">
      <c r="A37" s="12"/>
      <c r="B37" s="74"/>
      <c r="C37" s="74"/>
      <c r="D37" s="74"/>
      <c r="E37" s="74"/>
      <c r="F37" s="74"/>
      <c r="G37" s="75"/>
      <c r="H37" s="74"/>
      <c r="I37" s="74"/>
      <c r="J37" s="74"/>
      <c r="K37" s="74"/>
      <c r="M37" s="74"/>
      <c r="N37" s="74"/>
      <c r="P37" s="74"/>
      <c r="Q37" s="74"/>
      <c r="W37" s="14"/>
      <c r="Y37" s="14"/>
      <c r="Z37" s="14"/>
      <c r="AA37" s="14"/>
      <c r="AB37" s="14"/>
      <c r="AD37" s="14"/>
      <c r="AE37" s="17"/>
      <c r="AF37" s="17"/>
      <c r="AG37" s="14"/>
      <c r="AH37" s="13"/>
      <c r="AI37" s="13"/>
      <c r="AJ37" s="14"/>
      <c r="AK37" s="14"/>
      <c r="AL37" s="14"/>
      <c r="AM37" s="14"/>
      <c r="AN37" s="14"/>
      <c r="AO37" s="32"/>
    </row>
    <row r="38" spans="1:50" s="3" customFormat="1" ht="34.5" hidden="1" x14ac:dyDescent="0.45">
      <c r="A38" s="5"/>
      <c r="B38" s="74" t="s">
        <v>213</v>
      </c>
      <c r="C38" s="74"/>
      <c r="D38" s="74"/>
      <c r="E38" s="136" t="s">
        <v>214</v>
      </c>
      <c r="F38" s="136"/>
      <c r="G38" s="75"/>
      <c r="H38" s="74"/>
      <c r="I38" s="74"/>
      <c r="J38" s="74" t="s">
        <v>215</v>
      </c>
      <c r="K38" s="74"/>
      <c r="L38" s="74" t="s">
        <v>217</v>
      </c>
      <c r="M38" s="74"/>
      <c r="N38" s="74"/>
      <c r="O38" s="74"/>
      <c r="P38" s="74"/>
      <c r="Q38" s="74"/>
      <c r="R38" s="73"/>
      <c r="S38" s="74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1"/>
      <c r="AF38" s="11"/>
      <c r="AG38" s="11"/>
      <c r="AH38" s="7"/>
      <c r="AI38" s="7"/>
      <c r="AJ38" s="10"/>
      <c r="AK38" s="10"/>
      <c r="AL38" s="10"/>
      <c r="AM38" s="10"/>
      <c r="AN38" s="10"/>
      <c r="AO38" s="10"/>
    </row>
    <row r="39" spans="1:50" ht="35.25" x14ac:dyDescent="0.5">
      <c r="A39" s="4"/>
      <c r="B39" s="74" t="s">
        <v>212</v>
      </c>
      <c r="C39" s="74"/>
      <c r="D39" s="74"/>
      <c r="E39" s="74" t="s">
        <v>219</v>
      </c>
      <c r="F39" s="74"/>
      <c r="G39" s="75"/>
      <c r="H39" s="74"/>
      <c r="I39" s="74"/>
      <c r="J39" s="74" t="s">
        <v>252</v>
      </c>
      <c r="K39" s="74"/>
      <c r="L39" s="74" t="s">
        <v>253</v>
      </c>
      <c r="M39" s="74"/>
      <c r="N39" s="74"/>
      <c r="O39" s="74" t="s">
        <v>254</v>
      </c>
      <c r="P39" s="74"/>
      <c r="Q39" s="74" t="s">
        <v>255</v>
      </c>
      <c r="R39" s="69"/>
      <c r="S39" s="74"/>
      <c r="T39" s="74"/>
      <c r="U39" s="73"/>
      <c r="V39" s="74" t="s">
        <v>251</v>
      </c>
      <c r="W39" s="74"/>
      <c r="X39" s="69"/>
      <c r="Y39" s="74"/>
      <c r="Z39" s="136" t="s">
        <v>216</v>
      </c>
      <c r="AA39" s="73"/>
      <c r="AB39" s="7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50" x14ac:dyDescent="0.25">
      <c r="B40" s="74" t="s">
        <v>250</v>
      </c>
      <c r="C40" s="74"/>
      <c r="D40" s="74"/>
      <c r="E40" s="136" t="s">
        <v>214</v>
      </c>
      <c r="F40" s="136"/>
      <c r="G40" s="75"/>
      <c r="H40" s="74"/>
      <c r="I40" s="74"/>
      <c r="J40" s="74" t="s">
        <v>215</v>
      </c>
      <c r="K40" s="74"/>
      <c r="L40" s="74" t="s">
        <v>217</v>
      </c>
      <c r="M40" s="74"/>
      <c r="N40" s="74"/>
      <c r="O40" s="74" t="s">
        <v>256</v>
      </c>
      <c r="P40" s="74"/>
      <c r="Q40" s="74" t="s">
        <v>257</v>
      </c>
      <c r="R40" s="73"/>
      <c r="S40" s="74"/>
      <c r="T40" s="74"/>
      <c r="U40" s="73"/>
      <c r="V40" s="74"/>
      <c r="W40" s="74"/>
      <c r="X40" s="74"/>
      <c r="Y40" s="74"/>
      <c r="Z40" s="74"/>
      <c r="AA40" s="73"/>
      <c r="AB40" s="73"/>
    </row>
  </sheetData>
  <mergeCells count="55">
    <mergeCell ref="AH32:AK32"/>
    <mergeCell ref="AX32:AX33"/>
    <mergeCell ref="AN33:AO33"/>
    <mergeCell ref="AQ33:AR33"/>
    <mergeCell ref="AS33:AT33"/>
    <mergeCell ref="AU33:AV33"/>
    <mergeCell ref="S32:V32"/>
    <mergeCell ref="X32:X33"/>
    <mergeCell ref="Y32:Y33"/>
    <mergeCell ref="AB32:AC32"/>
    <mergeCell ref="AG32:AG33"/>
    <mergeCell ref="AD32:AF32"/>
    <mergeCell ref="M24:R24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R32"/>
    <mergeCell ref="AD14:AO14"/>
    <mergeCell ref="AD15:AO15"/>
    <mergeCell ref="AD16:AO16"/>
    <mergeCell ref="AD17:AO17"/>
    <mergeCell ref="AD18:AO18"/>
    <mergeCell ref="AD19:AO19"/>
    <mergeCell ref="AD20:AO20"/>
    <mergeCell ref="AD21:AO21"/>
    <mergeCell ref="AD22:AO22"/>
    <mergeCell ref="AD23:AO23"/>
    <mergeCell ref="AD13:AO13"/>
    <mergeCell ref="AR6:AR7"/>
    <mergeCell ref="AS6:AS7"/>
    <mergeCell ref="AD8:AO8"/>
    <mergeCell ref="AD9:AO9"/>
    <mergeCell ref="AD10:AO10"/>
    <mergeCell ref="AD11:AO11"/>
    <mergeCell ref="AD12:AO12"/>
    <mergeCell ref="AB6:AB7"/>
    <mergeCell ref="AC6:AC7"/>
    <mergeCell ref="AD6:AO7"/>
    <mergeCell ref="AP6:AP7"/>
    <mergeCell ref="AQ6:AQ7"/>
    <mergeCell ref="AD5:AO5"/>
    <mergeCell ref="AD2:AO2"/>
    <mergeCell ref="AD3:AO3"/>
    <mergeCell ref="G4:O4"/>
    <mergeCell ref="AD4:AO4"/>
    <mergeCell ref="R4:Y5"/>
  </mergeCells>
  <pageMargins left="0.23622047244094491" right="0.23622047244094491" top="0.74803149606299213" bottom="0.74803149606299213" header="0.31496062992125984" footer="0.31496062992125984"/>
  <pageSetup paperSize="9" scale="2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7"/>
  <sheetViews>
    <sheetView tabSelected="1" view="pageBreakPreview" topLeftCell="A30" zoomScale="80" zoomScaleNormal="80" zoomScaleSheetLayoutView="80" workbookViewId="0">
      <selection activeCell="C57" sqref="C57"/>
    </sheetView>
  </sheetViews>
  <sheetFormatPr defaultRowHeight="15.75" x14ac:dyDescent="0.25"/>
  <cols>
    <col min="1" max="1" width="9.140625" style="69"/>
    <col min="2" max="2" width="38" style="69" customWidth="1"/>
    <col min="3" max="3" width="20.7109375" style="69" customWidth="1"/>
    <col min="4" max="4" width="12" style="69" customWidth="1"/>
    <col min="5" max="5" width="13.140625" style="69" customWidth="1"/>
    <col min="6" max="6" width="8.7109375" style="69" customWidth="1"/>
    <col min="7" max="7" width="13.7109375" style="69" customWidth="1"/>
    <col min="8" max="8" width="12.28515625" style="70" customWidth="1"/>
    <col min="9" max="9" width="7.85546875" style="69" customWidth="1"/>
    <col min="10" max="12" width="13.7109375" style="69" customWidth="1"/>
    <col min="13" max="13" width="10.5703125" style="69" bestFit="1" customWidth="1"/>
    <col min="14" max="14" width="13.5703125" style="69" customWidth="1"/>
    <col min="15" max="16" width="17.42578125" style="69" customWidth="1"/>
    <col min="17" max="17" width="12.5703125" style="69" customWidth="1"/>
    <col min="18" max="18" width="9.140625" style="69"/>
    <col min="19" max="19" width="11.5703125" style="69" customWidth="1"/>
    <col min="20" max="20" width="8.42578125" style="69" customWidth="1"/>
    <col min="21" max="21" width="11.85546875" style="69" customWidth="1"/>
    <col min="22" max="22" width="7.5703125" style="69" customWidth="1"/>
    <col min="23" max="23" width="11.42578125" style="69" customWidth="1"/>
    <col min="24" max="24" width="7.85546875" style="69" customWidth="1"/>
    <col min="25" max="25" width="12.140625" style="69" customWidth="1"/>
    <col min="26" max="26" width="7.7109375" style="69" customWidth="1"/>
    <col min="27" max="27" width="11.28515625" style="69" customWidth="1"/>
    <col min="28" max="28" width="7" style="69" customWidth="1"/>
    <col min="29" max="30" width="12.7109375" style="69" customWidth="1"/>
    <col min="31" max="31" width="15.7109375" style="69" customWidth="1"/>
    <col min="32" max="32" width="16.85546875" style="69" customWidth="1"/>
    <col min="33" max="33" width="17.5703125" style="69" customWidth="1"/>
    <col min="34" max="16384" width="9.140625" style="69"/>
  </cols>
  <sheetData>
    <row r="1" spans="1:33" ht="18.75" x14ac:dyDescent="0.3">
      <c r="A1" s="106"/>
      <c r="B1" s="340"/>
      <c r="C1" s="340"/>
      <c r="D1" s="109"/>
      <c r="E1" s="110" t="s">
        <v>161</v>
      </c>
      <c r="F1" s="110"/>
      <c r="G1" s="109"/>
      <c r="H1" s="113"/>
      <c r="I1" s="112"/>
      <c r="J1" s="109"/>
      <c r="K1" s="109"/>
      <c r="L1" s="109"/>
      <c r="M1" s="109"/>
      <c r="N1" s="109"/>
      <c r="O1" s="109" t="s">
        <v>160</v>
      </c>
      <c r="P1" s="109"/>
      <c r="Q1" s="109"/>
      <c r="R1" s="109"/>
      <c r="S1" s="109"/>
      <c r="T1" s="106"/>
      <c r="U1" s="106"/>
      <c r="V1" s="106"/>
      <c r="W1" s="105"/>
    </row>
    <row r="2" spans="1:33" ht="33" customHeight="1" x14ac:dyDescent="0.3">
      <c r="A2" s="106"/>
      <c r="B2" s="340"/>
      <c r="C2" s="340"/>
      <c r="D2" s="109"/>
      <c r="E2" s="110"/>
      <c r="F2" s="110"/>
      <c r="G2" s="109"/>
      <c r="H2" s="113"/>
      <c r="I2" s="112"/>
      <c r="J2" s="109"/>
      <c r="K2" s="109"/>
      <c r="L2" s="109"/>
      <c r="M2" s="109"/>
      <c r="N2" s="109"/>
    </row>
    <row r="3" spans="1:33" ht="36" customHeight="1" x14ac:dyDescent="0.3">
      <c r="A3" s="106"/>
      <c r="B3" s="340"/>
      <c r="C3" s="340"/>
      <c r="D3" s="109"/>
      <c r="E3" s="269" t="s">
        <v>198</v>
      </c>
      <c r="F3" s="318"/>
      <c r="G3" s="318"/>
      <c r="H3" s="318"/>
      <c r="I3" s="318"/>
      <c r="J3" s="318"/>
      <c r="K3" s="318"/>
      <c r="L3" s="318"/>
      <c r="M3" s="318"/>
      <c r="N3" s="109"/>
      <c r="O3" s="341" t="s">
        <v>260</v>
      </c>
      <c r="P3" s="341"/>
      <c r="Q3" s="341"/>
      <c r="R3" s="341"/>
      <c r="S3" s="341"/>
      <c r="T3" s="341"/>
      <c r="U3" s="341"/>
      <c r="V3" s="341"/>
      <c r="W3" s="341"/>
      <c r="X3" s="341"/>
    </row>
    <row r="4" spans="1:33" ht="18.75" x14ac:dyDescent="0.3">
      <c r="A4" s="106"/>
      <c r="B4" s="340"/>
      <c r="C4" s="340"/>
      <c r="D4" s="109"/>
      <c r="E4" s="110"/>
      <c r="F4" s="110"/>
      <c r="G4" s="109"/>
      <c r="H4" s="113"/>
      <c r="I4" s="112"/>
      <c r="J4" s="109"/>
      <c r="K4" s="109"/>
      <c r="L4" s="109"/>
      <c r="M4" s="109"/>
      <c r="N4" s="109"/>
    </row>
    <row r="5" spans="1:33" ht="18.75" x14ac:dyDescent="0.3">
      <c r="A5" s="106"/>
      <c r="B5" s="340"/>
      <c r="C5" s="340"/>
      <c r="D5" s="109"/>
      <c r="E5" s="115" t="s">
        <v>159</v>
      </c>
      <c r="F5" s="114"/>
      <c r="G5" s="105"/>
      <c r="H5" s="110" t="s">
        <v>199</v>
      </c>
      <c r="I5" s="109"/>
      <c r="J5" s="109"/>
      <c r="K5" s="109"/>
      <c r="L5" s="109"/>
      <c r="M5" s="109"/>
      <c r="N5" s="109"/>
      <c r="O5" s="109"/>
      <c r="P5" s="109"/>
      <c r="Q5" s="109" t="s">
        <v>158</v>
      </c>
      <c r="R5" s="109" t="s">
        <v>219</v>
      </c>
      <c r="S5" s="109"/>
      <c r="T5" s="106"/>
      <c r="V5" s="105"/>
      <c r="W5" s="105"/>
    </row>
    <row r="6" spans="1:33" ht="18.75" x14ac:dyDescent="0.3">
      <c r="A6" s="106"/>
      <c r="B6" s="340"/>
      <c r="C6" s="340"/>
      <c r="D6" s="109"/>
      <c r="E6" s="110"/>
      <c r="F6" s="110"/>
      <c r="G6" s="109"/>
      <c r="H6" s="113"/>
      <c r="I6" s="112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6"/>
      <c r="U6" s="106"/>
      <c r="V6" s="106"/>
      <c r="W6" s="105"/>
    </row>
    <row r="7" spans="1:33" ht="18.75" x14ac:dyDescent="0.3">
      <c r="A7" s="106"/>
      <c r="B7" s="340"/>
      <c r="C7" s="340"/>
      <c r="D7" s="109"/>
      <c r="E7" s="110" t="s">
        <v>277</v>
      </c>
      <c r="F7" s="110"/>
      <c r="G7" s="109"/>
      <c r="H7" s="113"/>
      <c r="I7" s="112"/>
      <c r="J7" s="109"/>
      <c r="K7" s="109"/>
      <c r="L7" s="109"/>
      <c r="M7" s="109"/>
      <c r="N7" s="109"/>
      <c r="O7" s="109" t="s">
        <v>276</v>
      </c>
      <c r="P7" s="109"/>
      <c r="Q7" s="109"/>
      <c r="R7" s="109"/>
      <c r="S7" s="109"/>
      <c r="T7" s="106"/>
      <c r="U7" s="106"/>
      <c r="V7" s="106"/>
      <c r="W7" s="105"/>
    </row>
    <row r="8" spans="1:33" ht="18.75" x14ac:dyDescent="0.3">
      <c r="A8" s="106"/>
      <c r="B8" s="340"/>
      <c r="C8" s="340"/>
      <c r="D8" s="106"/>
      <c r="E8" s="106"/>
      <c r="F8" s="106"/>
      <c r="G8" s="106"/>
      <c r="H8" s="108"/>
      <c r="I8" s="107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5"/>
    </row>
    <row r="9" spans="1:33" ht="18.75" x14ac:dyDescent="0.3">
      <c r="A9" s="106"/>
      <c r="B9" s="111"/>
      <c r="C9" s="111"/>
      <c r="D9" s="106"/>
      <c r="E9" s="106"/>
      <c r="F9" s="106"/>
      <c r="G9" s="106"/>
      <c r="H9" s="113" t="s">
        <v>157</v>
      </c>
      <c r="I9" s="112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5"/>
    </row>
    <row r="10" spans="1:33" ht="18.75" x14ac:dyDescent="0.3">
      <c r="A10" s="106"/>
      <c r="B10" s="110" t="s">
        <v>261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05"/>
      <c r="O10" s="105"/>
      <c r="P10" s="105"/>
      <c r="Q10" s="105"/>
      <c r="R10" s="105"/>
      <c r="S10" s="109"/>
      <c r="T10" s="105"/>
      <c r="U10" s="105"/>
      <c r="V10" s="106"/>
      <c r="W10" s="105"/>
    </row>
    <row r="11" spans="1:33" ht="18.75" x14ac:dyDescent="0.3">
      <c r="A11" s="106"/>
      <c r="B11" s="111"/>
      <c r="C11" s="110"/>
      <c r="D11" s="109"/>
      <c r="E11" s="109"/>
      <c r="F11" s="109"/>
      <c r="G11" s="109"/>
      <c r="H11" s="108"/>
      <c r="I11" s="10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5"/>
    </row>
    <row r="12" spans="1:33" ht="19.5" thickBot="1" x14ac:dyDescent="0.35">
      <c r="A12" s="106"/>
      <c r="B12" s="110" t="s">
        <v>210</v>
      </c>
      <c r="C12" s="110"/>
      <c r="D12" s="109" t="s">
        <v>67</v>
      </c>
      <c r="E12" s="109"/>
      <c r="F12" s="109">
        <v>306</v>
      </c>
      <c r="G12" s="109"/>
      <c r="H12" s="108"/>
      <c r="I12" s="107"/>
      <c r="J12" s="106"/>
      <c r="K12" s="106"/>
      <c r="L12" s="106"/>
      <c r="M12" s="106"/>
      <c r="N12" s="106"/>
      <c r="O12" s="106"/>
      <c r="P12" s="106"/>
      <c r="Q12" s="338">
        <v>45658</v>
      </c>
      <c r="R12" s="339"/>
      <c r="S12" s="339"/>
      <c r="W12" s="105"/>
    </row>
    <row r="15" spans="1:33" x14ac:dyDescent="0.25">
      <c r="A15" s="77"/>
      <c r="B15" s="77"/>
      <c r="C15" s="77"/>
      <c r="D15" s="77"/>
      <c r="E15" s="77"/>
      <c r="F15" s="77"/>
      <c r="G15" s="104" t="s">
        <v>156</v>
      </c>
      <c r="H15" s="103">
        <v>17697</v>
      </c>
      <c r="I15" s="77"/>
      <c r="J15" s="337"/>
      <c r="K15" s="337"/>
      <c r="L15" s="337"/>
      <c r="M15" s="337"/>
      <c r="N15" s="337"/>
      <c r="O15" s="102"/>
      <c r="P15" s="102"/>
      <c r="Q15" s="102"/>
      <c r="R15" s="101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ht="18" customHeight="1" x14ac:dyDescent="0.25">
      <c r="A16" s="333" t="s">
        <v>155</v>
      </c>
      <c r="B16" s="333" t="s">
        <v>154</v>
      </c>
      <c r="C16" s="333" t="s">
        <v>153</v>
      </c>
      <c r="D16" s="333" t="s">
        <v>152</v>
      </c>
      <c r="E16" s="336" t="s">
        <v>151</v>
      </c>
      <c r="F16" s="336"/>
      <c r="G16" s="348" t="s">
        <v>150</v>
      </c>
      <c r="H16" s="357" t="s">
        <v>149</v>
      </c>
      <c r="I16" s="353" t="s">
        <v>148</v>
      </c>
      <c r="J16" s="333" t="s">
        <v>147</v>
      </c>
      <c r="K16" s="100"/>
      <c r="L16" s="100"/>
      <c r="M16" s="353" t="s">
        <v>146</v>
      </c>
      <c r="N16" s="354"/>
      <c r="O16" s="348" t="s">
        <v>145</v>
      </c>
      <c r="P16" s="100"/>
      <c r="Q16" s="100"/>
      <c r="S16" s="99"/>
      <c r="T16" s="99"/>
      <c r="U16" s="351" t="s">
        <v>144</v>
      </c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98"/>
      <c r="AG16" s="333" t="s">
        <v>143</v>
      </c>
    </row>
    <row r="17" spans="1:33" s="93" customFormat="1" ht="96.75" customHeight="1" x14ac:dyDescent="0.25">
      <c r="A17" s="333"/>
      <c r="B17" s="333"/>
      <c r="C17" s="333"/>
      <c r="D17" s="333"/>
      <c r="E17" s="333" t="s">
        <v>142</v>
      </c>
      <c r="F17" s="333" t="s">
        <v>141</v>
      </c>
      <c r="G17" s="350"/>
      <c r="H17" s="358"/>
      <c r="I17" s="342"/>
      <c r="J17" s="333"/>
      <c r="K17" s="342" t="s">
        <v>287</v>
      </c>
      <c r="L17" s="343"/>
      <c r="M17" s="355"/>
      <c r="N17" s="356"/>
      <c r="O17" s="350"/>
      <c r="P17" s="342" t="s">
        <v>140</v>
      </c>
      <c r="Q17" s="343"/>
      <c r="R17" s="333" t="s">
        <v>139</v>
      </c>
      <c r="S17" s="333"/>
      <c r="T17" s="344" t="s">
        <v>288</v>
      </c>
      <c r="U17" s="344"/>
      <c r="V17" s="344">
        <v>0.3</v>
      </c>
      <c r="W17" s="344"/>
      <c r="X17" s="344" t="s">
        <v>138</v>
      </c>
      <c r="Y17" s="344"/>
      <c r="Z17" s="344" t="s">
        <v>137</v>
      </c>
      <c r="AA17" s="344"/>
      <c r="AB17" s="333" t="s">
        <v>136</v>
      </c>
      <c r="AC17" s="333"/>
      <c r="AD17" s="346" t="s">
        <v>135</v>
      </c>
      <c r="AE17" s="347"/>
      <c r="AF17" s="348" t="s">
        <v>134</v>
      </c>
      <c r="AG17" s="333"/>
    </row>
    <row r="18" spans="1:33" s="93" customFormat="1" ht="54" customHeight="1" x14ac:dyDescent="0.25">
      <c r="A18" s="333"/>
      <c r="B18" s="333"/>
      <c r="C18" s="333"/>
      <c r="D18" s="333"/>
      <c r="E18" s="333"/>
      <c r="F18" s="333"/>
      <c r="G18" s="349"/>
      <c r="H18" s="359"/>
      <c r="I18" s="355"/>
      <c r="J18" s="333"/>
      <c r="K18" s="355"/>
      <c r="L18" s="356"/>
      <c r="M18" s="97" t="s">
        <v>133</v>
      </c>
      <c r="N18" s="96" t="s">
        <v>131</v>
      </c>
      <c r="O18" s="349"/>
      <c r="P18" s="95"/>
      <c r="Q18" s="95"/>
      <c r="R18" s="94" t="s">
        <v>132</v>
      </c>
      <c r="S18" s="94" t="s">
        <v>128</v>
      </c>
      <c r="T18" s="94" t="s">
        <v>132</v>
      </c>
      <c r="U18" s="94" t="s">
        <v>128</v>
      </c>
      <c r="V18" s="94" t="s">
        <v>132</v>
      </c>
      <c r="W18" s="94" t="s">
        <v>128</v>
      </c>
      <c r="X18" s="94" t="s">
        <v>34</v>
      </c>
      <c r="Y18" s="94" t="s">
        <v>131</v>
      </c>
      <c r="Z18" s="94" t="s">
        <v>130</v>
      </c>
      <c r="AA18" s="94" t="s">
        <v>128</v>
      </c>
      <c r="AB18" s="94" t="s">
        <v>130</v>
      </c>
      <c r="AC18" s="94" t="s">
        <v>128</v>
      </c>
      <c r="AD18" s="94" t="s">
        <v>129</v>
      </c>
      <c r="AE18" s="94" t="s">
        <v>128</v>
      </c>
      <c r="AF18" s="349"/>
      <c r="AG18" s="333"/>
    </row>
    <row r="19" spans="1:33" x14ac:dyDescent="0.25">
      <c r="A19" s="92">
        <v>1</v>
      </c>
      <c r="B19" s="92">
        <v>2</v>
      </c>
      <c r="C19" s="92">
        <v>3</v>
      </c>
      <c r="D19" s="92">
        <v>4</v>
      </c>
      <c r="E19" s="92">
        <v>5</v>
      </c>
      <c r="F19" s="92">
        <v>6</v>
      </c>
      <c r="G19" s="92">
        <v>7</v>
      </c>
      <c r="H19" s="92">
        <v>8</v>
      </c>
      <c r="I19" s="92">
        <v>9</v>
      </c>
      <c r="J19" s="92">
        <v>10</v>
      </c>
      <c r="K19" s="92"/>
      <c r="L19" s="92"/>
      <c r="M19" s="92">
        <v>11</v>
      </c>
      <c r="N19" s="92">
        <v>12</v>
      </c>
      <c r="O19" s="92">
        <v>13</v>
      </c>
      <c r="P19" s="92"/>
      <c r="Q19" s="92"/>
      <c r="R19" s="92">
        <v>14</v>
      </c>
      <c r="S19" s="92">
        <v>15</v>
      </c>
      <c r="T19" s="92">
        <v>16</v>
      </c>
      <c r="U19" s="92">
        <v>17</v>
      </c>
      <c r="V19" s="92">
        <v>18</v>
      </c>
      <c r="W19" s="92">
        <v>19</v>
      </c>
      <c r="X19" s="92">
        <v>20</v>
      </c>
      <c r="Y19" s="92">
        <v>21</v>
      </c>
      <c r="Z19" s="92">
        <v>22</v>
      </c>
      <c r="AA19" s="92">
        <v>23</v>
      </c>
      <c r="AB19" s="92">
        <v>24</v>
      </c>
      <c r="AC19" s="92">
        <v>25</v>
      </c>
      <c r="AD19" s="92"/>
      <c r="AE19" s="92">
        <v>26</v>
      </c>
      <c r="AF19" s="92">
        <v>27</v>
      </c>
      <c r="AG19" s="92">
        <v>28</v>
      </c>
    </row>
    <row r="20" spans="1:33" ht="18.75" x14ac:dyDescent="0.3">
      <c r="A20" s="92">
        <v>1</v>
      </c>
      <c r="B20" s="151" t="s">
        <v>243</v>
      </c>
      <c r="C20" s="87" t="s">
        <v>127</v>
      </c>
      <c r="D20" s="87" t="s">
        <v>118</v>
      </c>
      <c r="E20" s="88" t="s">
        <v>126</v>
      </c>
      <c r="F20" s="87"/>
      <c r="G20" s="121">
        <v>21.04</v>
      </c>
      <c r="H20" s="123">
        <v>6.05</v>
      </c>
      <c r="I20" s="87">
        <v>1</v>
      </c>
      <c r="J20" s="79">
        <f t="shared" ref="J20:J47" si="0">$H$15*H20*I20</f>
        <v>107066.84999999999</v>
      </c>
      <c r="K20" s="79">
        <v>100</v>
      </c>
      <c r="L20" s="79">
        <f>(J20*K20)/100</f>
        <v>107066.85</v>
      </c>
      <c r="M20" s="87">
        <v>25</v>
      </c>
      <c r="N20" s="79">
        <f t="shared" ref="N20:N27" si="1">(J20+L20)*25%</f>
        <v>53533.425000000003</v>
      </c>
      <c r="O20" s="79">
        <f t="shared" ref="O20:O46" si="2">J20+L20+N20</f>
        <v>267667.125</v>
      </c>
      <c r="P20" s="79"/>
      <c r="Q20" s="79"/>
      <c r="R20" s="87"/>
      <c r="S20" s="87">
        <f>SUM($H$15*0.2)*R20</f>
        <v>0</v>
      </c>
      <c r="T20" s="87"/>
      <c r="U20" s="87"/>
      <c r="V20" s="79"/>
      <c r="W20" s="87">
        <f>$H$15*0.3*V20</f>
        <v>0</v>
      </c>
      <c r="X20" s="87"/>
      <c r="Y20" s="87">
        <f>SUM($H$15*X20/100)</f>
        <v>0</v>
      </c>
      <c r="Z20" s="87"/>
      <c r="AA20" s="87">
        <f>SUM($H$15*H20/168*24)/6*Z20</f>
        <v>0</v>
      </c>
      <c r="AB20" s="87"/>
      <c r="AC20" s="87">
        <f>SUM($H$15*H20*I20*0.5/168*8)*AB20</f>
        <v>0</v>
      </c>
      <c r="AD20" s="87">
        <v>1</v>
      </c>
      <c r="AE20" s="79">
        <f t="shared" ref="AE20:AE31" si="3">O20*10%</f>
        <v>26766.712500000001</v>
      </c>
      <c r="AF20" s="82">
        <f t="shared" ref="AF20:AF44" si="4">SUM(Q20+S20+U20+W20+Y20+AA20+AC20+AE20)</f>
        <v>26766.712500000001</v>
      </c>
      <c r="AG20" s="82">
        <f t="shared" ref="AG20:AG33" si="5">SUM(O20+AF20)</f>
        <v>294433.83750000002</v>
      </c>
    </row>
    <row r="21" spans="1:33" ht="18.75" x14ac:dyDescent="0.3">
      <c r="A21" s="92">
        <v>2</v>
      </c>
      <c r="B21" s="151" t="s">
        <v>80</v>
      </c>
      <c r="C21" s="87" t="s">
        <v>125</v>
      </c>
      <c r="D21" s="87" t="s">
        <v>118</v>
      </c>
      <c r="E21" s="88" t="s">
        <v>123</v>
      </c>
      <c r="F21" s="87">
        <v>3</v>
      </c>
      <c r="G21" s="121">
        <v>32.04</v>
      </c>
      <c r="H21" s="123">
        <v>5.91</v>
      </c>
      <c r="I21" s="87">
        <v>1</v>
      </c>
      <c r="J21" s="79">
        <f t="shared" si="0"/>
        <v>104589.27</v>
      </c>
      <c r="K21" s="79">
        <v>100</v>
      </c>
      <c r="L21" s="79">
        <f t="shared" ref="L21:L47" si="6">(J21*K21)/100</f>
        <v>104589.27</v>
      </c>
      <c r="M21" s="87">
        <v>25</v>
      </c>
      <c r="N21" s="79">
        <f t="shared" si="1"/>
        <v>52294.635000000002</v>
      </c>
      <c r="O21" s="79">
        <f t="shared" si="2"/>
        <v>261473.17500000002</v>
      </c>
      <c r="P21" s="79">
        <v>30</v>
      </c>
      <c r="Q21" s="79">
        <f>SUM(O21*P21)/100</f>
        <v>78441.952500000014</v>
      </c>
      <c r="R21" s="87"/>
      <c r="S21" s="87"/>
      <c r="T21" s="87"/>
      <c r="U21" s="87"/>
      <c r="V21" s="79"/>
      <c r="W21" s="87">
        <f>$H$15*0.3*V21</f>
        <v>0</v>
      </c>
      <c r="X21" s="87"/>
      <c r="Y21" s="87">
        <f>SUM($H$15*X21/100)</f>
        <v>0</v>
      </c>
      <c r="Z21" s="87"/>
      <c r="AA21" s="87">
        <f>SUM($H$15*H21/168*24)/6*Z21</f>
        <v>0</v>
      </c>
      <c r="AB21" s="87"/>
      <c r="AC21" s="87">
        <f>SUM($H$15*H21*I21*0.5/168*8)*AB21</f>
        <v>0</v>
      </c>
      <c r="AD21" s="87">
        <v>1</v>
      </c>
      <c r="AE21" s="79">
        <f t="shared" si="3"/>
        <v>26147.317500000005</v>
      </c>
      <c r="AF21" s="82">
        <f t="shared" si="4"/>
        <v>104589.27000000002</v>
      </c>
      <c r="AG21" s="82">
        <f t="shared" si="5"/>
        <v>366062.44500000007</v>
      </c>
    </row>
    <row r="22" spans="1:33" ht="37.5" x14ac:dyDescent="0.3">
      <c r="A22" s="92"/>
      <c r="B22" s="151" t="s">
        <v>173</v>
      </c>
      <c r="C22" s="87" t="s">
        <v>125</v>
      </c>
      <c r="D22" s="87" t="s">
        <v>118</v>
      </c>
      <c r="E22" s="88" t="s">
        <v>123</v>
      </c>
      <c r="F22" s="87"/>
      <c r="G22" s="121">
        <v>17.010000000000002</v>
      </c>
      <c r="H22" s="123">
        <v>5.58</v>
      </c>
      <c r="I22" s="87">
        <v>0.5</v>
      </c>
      <c r="J22" s="79">
        <f t="shared" ref="J22" si="7">$H$15*H22*I22</f>
        <v>49374.63</v>
      </c>
      <c r="K22" s="79">
        <v>101</v>
      </c>
      <c r="L22" s="79">
        <f t="shared" ref="L22" si="8">(J22*K22)/100</f>
        <v>49868.376299999996</v>
      </c>
      <c r="M22" s="87">
        <v>26</v>
      </c>
      <c r="N22" s="79">
        <f t="shared" ref="N22" si="9">(J22+L22)*25%</f>
        <v>24810.751574999998</v>
      </c>
      <c r="O22" s="79">
        <f t="shared" ref="O22" si="10">J22+L22+N22</f>
        <v>124053.757875</v>
      </c>
      <c r="P22" s="79"/>
      <c r="Q22" s="79"/>
      <c r="R22" s="87"/>
      <c r="S22" s="87"/>
      <c r="T22" s="87"/>
      <c r="U22" s="87"/>
      <c r="V22" s="79"/>
      <c r="W22" s="87"/>
      <c r="X22" s="87"/>
      <c r="Y22" s="87"/>
      <c r="Z22" s="87"/>
      <c r="AA22" s="87"/>
      <c r="AB22" s="87"/>
      <c r="AC22" s="87">
        <f>SUM($H$15*H22*I22*0.5/168*8)*AB22</f>
        <v>0</v>
      </c>
      <c r="AD22" s="87">
        <v>0.5</v>
      </c>
      <c r="AE22" s="79">
        <f t="shared" si="3"/>
        <v>12405.375787500001</v>
      </c>
      <c r="AF22" s="82">
        <f t="shared" ref="AF22" si="11">SUM(Q22+S22+U22+W22+Y22+AA22+AC22+AE22)</f>
        <v>12405.375787500001</v>
      </c>
      <c r="AG22" s="82">
        <f t="shared" ref="AG22" si="12">SUM(O22+AF22)</f>
        <v>136459.13366250001</v>
      </c>
    </row>
    <row r="23" spans="1:33" ht="18.75" x14ac:dyDescent="0.3">
      <c r="A23" s="92">
        <v>3</v>
      </c>
      <c r="B23" s="151" t="s">
        <v>85</v>
      </c>
      <c r="C23" s="87" t="s">
        <v>124</v>
      </c>
      <c r="D23" s="87" t="s">
        <v>118</v>
      </c>
      <c r="E23" s="88" t="s">
        <v>123</v>
      </c>
      <c r="F23" s="87"/>
      <c r="G23" s="121">
        <v>43.04</v>
      </c>
      <c r="H23" s="123">
        <v>5.91</v>
      </c>
      <c r="I23" s="87">
        <v>0.5</v>
      </c>
      <c r="J23" s="79">
        <f t="shared" si="0"/>
        <v>52294.635000000002</v>
      </c>
      <c r="K23" s="79">
        <v>100</v>
      </c>
      <c r="L23" s="79">
        <f t="shared" si="6"/>
        <v>52294.635000000002</v>
      </c>
      <c r="M23" s="87">
        <v>25</v>
      </c>
      <c r="N23" s="79">
        <f t="shared" si="1"/>
        <v>26147.317500000001</v>
      </c>
      <c r="O23" s="79">
        <f t="shared" si="2"/>
        <v>130736.58750000001</v>
      </c>
      <c r="P23" s="79"/>
      <c r="Q23" s="79"/>
      <c r="R23" s="87"/>
      <c r="S23" s="87">
        <f>SUM($H$15*0.2)*R23</f>
        <v>0</v>
      </c>
      <c r="T23" s="87"/>
      <c r="U23" s="87"/>
      <c r="V23" s="79"/>
      <c r="W23" s="87">
        <f>$H$15*0.3*V23</f>
        <v>0</v>
      </c>
      <c r="X23" s="87"/>
      <c r="Y23" s="87">
        <f>SUM($H$15*X23/100)</f>
        <v>0</v>
      </c>
      <c r="Z23" s="87"/>
      <c r="AA23" s="87">
        <f>SUM($H$15*H23/168*24)/6*Z23</f>
        <v>0</v>
      </c>
      <c r="AB23" s="87"/>
      <c r="AC23" s="87">
        <f>SUM($H$15*H23*I23*0.5/168*8)*AB23</f>
        <v>0</v>
      </c>
      <c r="AD23" s="87">
        <v>0.5</v>
      </c>
      <c r="AE23" s="79">
        <f t="shared" si="3"/>
        <v>13073.658750000002</v>
      </c>
      <c r="AF23" s="82">
        <f t="shared" si="4"/>
        <v>13073.658750000002</v>
      </c>
      <c r="AG23" s="82">
        <f t="shared" si="5"/>
        <v>143810.24625000003</v>
      </c>
    </row>
    <row r="24" spans="1:33" ht="18.75" x14ac:dyDescent="0.3">
      <c r="A24" s="92">
        <v>4</v>
      </c>
      <c r="B24" s="151" t="s">
        <v>172</v>
      </c>
      <c r="C24" s="87" t="s">
        <v>124</v>
      </c>
      <c r="D24" s="87" t="s">
        <v>118</v>
      </c>
      <c r="E24" s="88" t="s">
        <v>123</v>
      </c>
      <c r="F24" s="87"/>
      <c r="G24" s="121">
        <v>15.1</v>
      </c>
      <c r="H24" s="123">
        <v>5.72</v>
      </c>
      <c r="I24" s="87">
        <v>0.5</v>
      </c>
      <c r="J24" s="79">
        <f t="shared" ref="J24:J25" si="13">$H$15*H24*I24</f>
        <v>50613.42</v>
      </c>
      <c r="K24" s="79">
        <v>100</v>
      </c>
      <c r="L24" s="79">
        <f t="shared" ref="L24" si="14">(J24*K24)/100</f>
        <v>50613.42</v>
      </c>
      <c r="M24" s="87">
        <v>25</v>
      </c>
      <c r="N24" s="79">
        <f t="shared" ref="N24" si="15">(J24+L24)*25%</f>
        <v>25306.71</v>
      </c>
      <c r="O24" s="79">
        <f t="shared" ref="O24" si="16">J24+L24+N24</f>
        <v>126533.54999999999</v>
      </c>
      <c r="P24" s="79"/>
      <c r="Q24" s="79"/>
      <c r="R24" s="87"/>
      <c r="S24" s="87"/>
      <c r="T24" s="87"/>
      <c r="U24" s="87"/>
      <c r="V24" s="79"/>
      <c r="W24" s="87"/>
      <c r="X24" s="87"/>
      <c r="Y24" s="87"/>
      <c r="Z24" s="87"/>
      <c r="AA24" s="87"/>
      <c r="AB24" s="87"/>
      <c r="AC24" s="87"/>
      <c r="AD24" s="87">
        <v>0.5</v>
      </c>
      <c r="AE24" s="79">
        <f t="shared" si="3"/>
        <v>12653.355</v>
      </c>
      <c r="AF24" s="82">
        <f t="shared" si="4"/>
        <v>12653.355</v>
      </c>
      <c r="AG24" s="82">
        <f t="shared" ref="AG24" si="17">SUM(O24+AF24)</f>
        <v>139186.905</v>
      </c>
    </row>
    <row r="25" spans="1:33" ht="37.5" x14ac:dyDescent="0.3">
      <c r="A25" s="92"/>
      <c r="B25" s="151" t="s">
        <v>290</v>
      </c>
      <c r="C25" s="87" t="s">
        <v>124</v>
      </c>
      <c r="D25" s="87" t="s">
        <v>118</v>
      </c>
      <c r="E25" s="88" t="s">
        <v>123</v>
      </c>
      <c r="F25" s="87"/>
      <c r="G25" s="121">
        <v>24.09</v>
      </c>
      <c r="H25" s="123">
        <v>5.74</v>
      </c>
      <c r="I25" s="87">
        <v>0.5</v>
      </c>
      <c r="J25" s="79">
        <f t="shared" si="13"/>
        <v>50790.39</v>
      </c>
      <c r="K25" s="79">
        <v>101</v>
      </c>
      <c r="L25" s="79">
        <f t="shared" ref="L25" si="18">(J25*K25)/100</f>
        <v>51298.293899999997</v>
      </c>
      <c r="M25" s="87">
        <v>26</v>
      </c>
      <c r="N25" s="79">
        <f t="shared" ref="N25" si="19">(J25+L25)*25%</f>
        <v>25522.170975000001</v>
      </c>
      <c r="O25" s="79">
        <f t="shared" ref="O25" si="20">J25+L25+N25</f>
        <v>127610.854875</v>
      </c>
      <c r="P25" s="79"/>
      <c r="Q25" s="79"/>
      <c r="R25" s="87"/>
      <c r="S25" s="87"/>
      <c r="T25" s="87"/>
      <c r="U25" s="87"/>
      <c r="V25" s="79"/>
      <c r="W25" s="87"/>
      <c r="X25" s="87"/>
      <c r="Y25" s="87"/>
      <c r="Z25" s="87"/>
      <c r="AA25" s="87"/>
      <c r="AB25" s="87"/>
      <c r="AC25" s="87"/>
      <c r="AD25" s="87">
        <v>0.5</v>
      </c>
      <c r="AE25" s="79">
        <f t="shared" si="3"/>
        <v>12761.0854875</v>
      </c>
      <c r="AF25" s="82">
        <f t="shared" ref="AF25" si="21">SUM(Q25+S25+U25+W25+Y25+AA25+AC25+AE25)</f>
        <v>12761.0854875</v>
      </c>
      <c r="AG25" s="82">
        <f t="shared" ref="AG25" si="22">SUM(O25+AF25)</f>
        <v>140371.9403625</v>
      </c>
    </row>
    <row r="26" spans="1:33" ht="37.5" x14ac:dyDescent="0.3">
      <c r="A26" s="92">
        <v>5</v>
      </c>
      <c r="B26" s="152" t="s">
        <v>179</v>
      </c>
      <c r="C26" s="57" t="s">
        <v>122</v>
      </c>
      <c r="D26" s="87" t="s">
        <v>10</v>
      </c>
      <c r="E26" s="119" t="s">
        <v>185</v>
      </c>
      <c r="F26" s="57"/>
      <c r="G26" s="122">
        <v>9.0500000000000007</v>
      </c>
      <c r="H26" s="124">
        <v>4.33</v>
      </c>
      <c r="I26" s="57">
        <v>1</v>
      </c>
      <c r="J26" s="117">
        <f t="shared" si="0"/>
        <v>76628.009999999995</v>
      </c>
      <c r="K26" s="79">
        <v>100</v>
      </c>
      <c r="L26" s="79">
        <f t="shared" si="6"/>
        <v>76628.009999999995</v>
      </c>
      <c r="M26" s="56">
        <v>25</v>
      </c>
      <c r="N26" s="118">
        <f t="shared" si="1"/>
        <v>38314.004999999997</v>
      </c>
      <c r="O26" s="118">
        <f t="shared" si="2"/>
        <v>191570.02499999999</v>
      </c>
      <c r="P26" s="118"/>
      <c r="Q26" s="118"/>
      <c r="R26" s="56"/>
      <c r="S26" s="56">
        <f t="shared" ref="S26" si="23">SUM($H$15*0.2)*R26</f>
        <v>0</v>
      </c>
      <c r="T26" s="56"/>
      <c r="U26" s="56"/>
      <c r="V26" s="118"/>
      <c r="W26" s="56">
        <f t="shared" ref="W26:W27" si="24">$H$15*0.3*V26</f>
        <v>0</v>
      </c>
      <c r="X26" s="56"/>
      <c r="Y26" s="56">
        <f t="shared" ref="Y26" si="25">SUM($H$15*X26/100)</f>
        <v>0</v>
      </c>
      <c r="Z26" s="56"/>
      <c r="AA26" s="56">
        <f t="shared" ref="AA26:AA43" si="26">SUM($H$15*H26/168*24)/6*Z26</f>
        <v>0</v>
      </c>
      <c r="AB26" s="56"/>
      <c r="AC26" s="56">
        <f t="shared" ref="AC26:AC31" si="27">SUM($H$15*H26*I26*0.5/168*8)*AB26</f>
        <v>0</v>
      </c>
      <c r="AD26" s="57">
        <v>1</v>
      </c>
      <c r="AE26" s="118">
        <f t="shared" si="3"/>
        <v>19157.002499999999</v>
      </c>
      <c r="AF26" s="82">
        <f t="shared" si="4"/>
        <v>19157.002499999999</v>
      </c>
      <c r="AG26" s="82">
        <f t="shared" si="5"/>
        <v>210727.0275</v>
      </c>
    </row>
    <row r="27" spans="1:33" ht="48" x14ac:dyDescent="0.3">
      <c r="A27" s="92">
        <v>6</v>
      </c>
      <c r="B27" s="152" t="s">
        <v>121</v>
      </c>
      <c r="C27" s="56" t="s">
        <v>120</v>
      </c>
      <c r="D27" s="56" t="s">
        <v>118</v>
      </c>
      <c r="E27" s="120" t="s">
        <v>25</v>
      </c>
      <c r="F27" s="56" t="s">
        <v>110</v>
      </c>
      <c r="G27" s="122">
        <v>15.04</v>
      </c>
      <c r="H27" s="124">
        <v>4.9000000000000004</v>
      </c>
      <c r="I27" s="56">
        <v>1</v>
      </c>
      <c r="J27" s="117">
        <f t="shared" si="0"/>
        <v>86715.3</v>
      </c>
      <c r="K27" s="79">
        <v>100</v>
      </c>
      <c r="L27" s="79">
        <f t="shared" si="6"/>
        <v>86715.3</v>
      </c>
      <c r="M27" s="56">
        <v>25</v>
      </c>
      <c r="N27" s="118">
        <f t="shared" si="1"/>
        <v>43357.65</v>
      </c>
      <c r="O27" s="118">
        <f t="shared" si="2"/>
        <v>216788.25</v>
      </c>
      <c r="P27" s="118">
        <v>30</v>
      </c>
      <c r="Q27" s="79">
        <f>SUM(O27*P27)/100</f>
        <v>65036.474999999999</v>
      </c>
      <c r="R27" s="56"/>
      <c r="S27" s="56">
        <f t="shared" ref="S27" si="28">SUM($H$15*0.2)*R27</f>
        <v>0</v>
      </c>
      <c r="T27" s="56"/>
      <c r="U27" s="56"/>
      <c r="V27" s="118"/>
      <c r="W27" s="56">
        <f t="shared" si="24"/>
        <v>0</v>
      </c>
      <c r="X27" s="56"/>
      <c r="Y27" s="56">
        <f t="shared" ref="Y27" si="29">SUM($H$15*X27/100)</f>
        <v>0</v>
      </c>
      <c r="Z27" s="56"/>
      <c r="AA27" s="56">
        <f t="shared" si="26"/>
        <v>0</v>
      </c>
      <c r="AB27" s="56"/>
      <c r="AC27" s="56">
        <f t="shared" si="27"/>
        <v>0</v>
      </c>
      <c r="AD27" s="56">
        <v>1</v>
      </c>
      <c r="AE27" s="118">
        <f t="shared" si="3"/>
        <v>21678.825000000001</v>
      </c>
      <c r="AF27" s="82">
        <f t="shared" si="4"/>
        <v>86715.3</v>
      </c>
      <c r="AG27" s="82">
        <f t="shared" si="5"/>
        <v>303503.55</v>
      </c>
    </row>
    <row r="28" spans="1:33" ht="18.75" x14ac:dyDescent="0.3">
      <c r="A28" s="92">
        <v>7</v>
      </c>
      <c r="B28" s="153" t="s">
        <v>175</v>
      </c>
      <c r="C28" s="56" t="s">
        <v>244</v>
      </c>
      <c r="D28" s="56" t="s">
        <v>118</v>
      </c>
      <c r="E28" s="120" t="s">
        <v>185</v>
      </c>
      <c r="F28" s="56"/>
      <c r="G28" s="122">
        <v>9.01</v>
      </c>
      <c r="H28" s="124">
        <v>4.33</v>
      </c>
      <c r="I28" s="56">
        <v>0.5</v>
      </c>
      <c r="J28" s="117">
        <f t="shared" si="0"/>
        <v>38314.004999999997</v>
      </c>
      <c r="K28" s="79">
        <v>100</v>
      </c>
      <c r="L28" s="79">
        <f t="shared" ref="L28:L30" si="30">(J28*K28)/100</f>
        <v>38314.004999999997</v>
      </c>
      <c r="M28" s="56">
        <v>25</v>
      </c>
      <c r="N28" s="118">
        <f t="shared" ref="N28:N30" si="31">(J28+L28)*25%</f>
        <v>19157.002499999999</v>
      </c>
      <c r="O28" s="118">
        <f t="shared" ref="O28:O30" si="32">J28+L28+N28</f>
        <v>95785.012499999997</v>
      </c>
      <c r="P28" s="118"/>
      <c r="Q28" s="79"/>
      <c r="R28" s="56"/>
      <c r="S28" s="56"/>
      <c r="T28" s="56"/>
      <c r="U28" s="56"/>
      <c r="V28" s="118"/>
      <c r="W28" s="56"/>
      <c r="X28" s="56"/>
      <c r="Y28" s="56"/>
      <c r="Z28" s="56"/>
      <c r="AA28" s="56">
        <f t="shared" si="26"/>
        <v>0</v>
      </c>
      <c r="AB28" s="56"/>
      <c r="AC28" s="56">
        <f t="shared" si="27"/>
        <v>0</v>
      </c>
      <c r="AD28" s="56">
        <v>0.5</v>
      </c>
      <c r="AE28" s="118">
        <f t="shared" si="3"/>
        <v>9578.5012499999993</v>
      </c>
      <c r="AF28" s="82">
        <f t="shared" si="4"/>
        <v>9578.5012499999993</v>
      </c>
      <c r="AG28" s="82">
        <f t="shared" ref="AG28:AG30" si="33">SUM(O28+AF28)</f>
        <v>105363.51375</v>
      </c>
    </row>
    <row r="29" spans="1:33" ht="18.75" x14ac:dyDescent="0.25">
      <c r="A29" s="92">
        <v>8</v>
      </c>
      <c r="B29" s="147" t="s">
        <v>175</v>
      </c>
      <c r="C29" s="56" t="s">
        <v>244</v>
      </c>
      <c r="D29" s="56" t="s">
        <v>118</v>
      </c>
      <c r="E29" s="120" t="s">
        <v>185</v>
      </c>
      <c r="F29" s="56"/>
      <c r="G29" s="122">
        <v>6</v>
      </c>
      <c r="H29" s="124">
        <v>4.2699999999999996</v>
      </c>
      <c r="I29" s="56">
        <v>0.5</v>
      </c>
      <c r="J29" s="117">
        <f t="shared" si="0"/>
        <v>37783.094999999994</v>
      </c>
      <c r="K29" s="79">
        <v>100</v>
      </c>
      <c r="L29" s="79">
        <f t="shared" si="30"/>
        <v>37783.094999999994</v>
      </c>
      <c r="M29" s="56">
        <v>25</v>
      </c>
      <c r="N29" s="118">
        <f t="shared" si="31"/>
        <v>18891.547499999997</v>
      </c>
      <c r="O29" s="118">
        <f t="shared" si="32"/>
        <v>94457.737499999988</v>
      </c>
      <c r="P29" s="118"/>
      <c r="Q29" s="79"/>
      <c r="R29" s="56"/>
      <c r="S29" s="56"/>
      <c r="T29" s="56"/>
      <c r="U29" s="56"/>
      <c r="V29" s="118"/>
      <c r="W29" s="56"/>
      <c r="X29" s="56"/>
      <c r="Y29" s="56"/>
      <c r="Z29" s="56"/>
      <c r="AA29" s="56">
        <f t="shared" si="26"/>
        <v>0</v>
      </c>
      <c r="AB29" s="56"/>
      <c r="AC29" s="56">
        <f t="shared" si="27"/>
        <v>0</v>
      </c>
      <c r="AD29" s="56">
        <v>0.5</v>
      </c>
      <c r="AE29" s="118">
        <f t="shared" si="3"/>
        <v>9445.7737499999985</v>
      </c>
      <c r="AF29" s="82">
        <f t="shared" si="4"/>
        <v>9445.7737499999985</v>
      </c>
      <c r="AG29" s="82">
        <f t="shared" si="33"/>
        <v>103903.51124999998</v>
      </c>
    </row>
    <row r="30" spans="1:33" ht="18.75" x14ac:dyDescent="0.25">
      <c r="A30" s="92">
        <v>9</v>
      </c>
      <c r="B30" s="147" t="s">
        <v>175</v>
      </c>
      <c r="C30" s="56" t="s">
        <v>211</v>
      </c>
      <c r="D30" s="56" t="s">
        <v>10</v>
      </c>
      <c r="E30" s="120" t="s">
        <v>26</v>
      </c>
      <c r="F30" s="56"/>
      <c r="G30" s="122">
        <v>25.04</v>
      </c>
      <c r="H30" s="124">
        <v>4.7300000000000004</v>
      </c>
      <c r="I30" s="56">
        <v>1</v>
      </c>
      <c r="J30" s="117">
        <f t="shared" ref="J30" si="34">$H$15*H30*I30</f>
        <v>83706.810000000012</v>
      </c>
      <c r="K30" s="79">
        <v>100</v>
      </c>
      <c r="L30" s="79">
        <f t="shared" si="30"/>
        <v>83706.810000000012</v>
      </c>
      <c r="M30" s="56">
        <v>25</v>
      </c>
      <c r="N30" s="118">
        <f t="shared" si="31"/>
        <v>41853.405000000006</v>
      </c>
      <c r="O30" s="118">
        <f t="shared" si="32"/>
        <v>209267.02500000002</v>
      </c>
      <c r="P30" s="118"/>
      <c r="Q30" s="118"/>
      <c r="R30" s="56"/>
      <c r="S30" s="56"/>
      <c r="T30" s="56"/>
      <c r="U30" s="56"/>
      <c r="V30" s="118"/>
      <c r="W30" s="56"/>
      <c r="X30" s="56"/>
      <c r="Y30" s="56"/>
      <c r="Z30" s="56"/>
      <c r="AA30" s="56">
        <f t="shared" ref="AA30" si="35">SUM($H$15*H30/168*24)/6*Z30</f>
        <v>0</v>
      </c>
      <c r="AB30" s="56"/>
      <c r="AC30" s="56">
        <f t="shared" ref="AC30" si="36">SUM($H$15*H30*I30*0.5/168*8)*AB30</f>
        <v>0</v>
      </c>
      <c r="AD30" s="56">
        <v>1</v>
      </c>
      <c r="AE30" s="118">
        <f t="shared" ref="AE30" si="37">O30*10%</f>
        <v>20926.702500000003</v>
      </c>
      <c r="AF30" s="82">
        <f t="shared" si="4"/>
        <v>20926.702500000003</v>
      </c>
      <c r="AG30" s="82">
        <f t="shared" si="33"/>
        <v>230193.72750000004</v>
      </c>
    </row>
    <row r="31" spans="1:33" ht="31.5" customHeight="1" x14ac:dyDescent="0.25">
      <c r="A31" s="329">
        <v>10</v>
      </c>
      <c r="B31" s="334" t="s">
        <v>245</v>
      </c>
      <c r="C31" s="56" t="s">
        <v>190</v>
      </c>
      <c r="D31" s="56" t="s">
        <v>10</v>
      </c>
      <c r="E31" s="120" t="s">
        <v>205</v>
      </c>
      <c r="F31" s="56"/>
      <c r="G31" s="122">
        <v>0.04</v>
      </c>
      <c r="H31" s="124">
        <v>4.75</v>
      </c>
      <c r="I31" s="56">
        <v>1</v>
      </c>
      <c r="J31" s="117">
        <f t="shared" si="0"/>
        <v>84060.75</v>
      </c>
      <c r="K31" s="79">
        <v>100</v>
      </c>
      <c r="L31" s="79">
        <f t="shared" si="6"/>
        <v>84060.75</v>
      </c>
      <c r="M31" s="56"/>
      <c r="N31" s="118"/>
      <c r="O31" s="118">
        <f t="shared" si="2"/>
        <v>168121.5</v>
      </c>
      <c r="P31" s="118"/>
      <c r="Q31" s="118"/>
      <c r="R31" s="56"/>
      <c r="S31" s="56"/>
      <c r="T31" s="56"/>
      <c r="U31" s="56"/>
      <c r="V31" s="118"/>
      <c r="W31" s="56"/>
      <c r="X31" s="56"/>
      <c r="Y31" s="56"/>
      <c r="Z31" s="56"/>
      <c r="AA31" s="56">
        <f t="shared" si="26"/>
        <v>0</v>
      </c>
      <c r="AB31" s="56"/>
      <c r="AC31" s="56">
        <f t="shared" si="27"/>
        <v>0</v>
      </c>
      <c r="AD31" s="56">
        <v>1</v>
      </c>
      <c r="AE31" s="118">
        <f t="shared" si="3"/>
        <v>16812.150000000001</v>
      </c>
      <c r="AF31" s="82">
        <f t="shared" si="4"/>
        <v>16812.150000000001</v>
      </c>
      <c r="AG31" s="82">
        <f t="shared" ref="AG31" si="38">SUM(O31+AF31)</f>
        <v>184933.65</v>
      </c>
    </row>
    <row r="32" spans="1:33" ht="18" x14ac:dyDescent="0.25">
      <c r="A32" s="330"/>
      <c r="B32" s="335"/>
      <c r="C32" s="57" t="s">
        <v>163</v>
      </c>
      <c r="D32" s="57" t="s">
        <v>116</v>
      </c>
      <c r="E32" s="116">
        <v>2</v>
      </c>
      <c r="F32" s="57">
        <v>0</v>
      </c>
      <c r="G32" s="122">
        <v>26</v>
      </c>
      <c r="H32" s="124">
        <v>2.81</v>
      </c>
      <c r="I32" s="57">
        <v>0.5</v>
      </c>
      <c r="J32" s="117">
        <f t="shared" ref="J32" si="39">$H$15*H32*I32</f>
        <v>24864.285</v>
      </c>
      <c r="K32" s="79">
        <v>100</v>
      </c>
      <c r="L32" s="79">
        <f t="shared" ref="L32" si="40">(J32*K32)/100</f>
        <v>24864.285</v>
      </c>
      <c r="M32" s="56">
        <v>0</v>
      </c>
      <c r="N32" s="117">
        <f t="shared" ref="N32" si="41">SUM(J32*M32)/100</f>
        <v>0</v>
      </c>
      <c r="O32" s="118">
        <f t="shared" ref="O32" si="42">J32+L32+N32</f>
        <v>49728.57</v>
      </c>
      <c r="P32" s="118"/>
      <c r="Q32" s="117"/>
      <c r="R32" s="57"/>
      <c r="S32" s="57"/>
      <c r="T32" s="57"/>
      <c r="U32" s="57"/>
      <c r="V32" s="117"/>
      <c r="W32" s="83">
        <f t="shared" ref="W32" si="43">$H$15*0.3*V32</f>
        <v>0</v>
      </c>
      <c r="X32" s="57"/>
      <c r="Y32" s="88">
        <f t="shared" ref="Y32" si="44">SUM($H$15*X32/100)</f>
        <v>0</v>
      </c>
      <c r="Z32" s="57"/>
      <c r="AA32" s="56">
        <f t="shared" ref="AA32" si="45">SUM($H$15*H32/168*24)/6*Z32</f>
        <v>0</v>
      </c>
      <c r="AB32" s="57"/>
      <c r="AC32" s="83">
        <f t="shared" ref="AC32" si="46">SUM($H$15*H32*I32*0.5/168*8)*AB32</f>
        <v>0</v>
      </c>
      <c r="AD32" s="57">
        <v>0.5</v>
      </c>
      <c r="AE32" s="117"/>
      <c r="AF32" s="82">
        <f t="shared" si="4"/>
        <v>0</v>
      </c>
      <c r="AG32" s="82">
        <f t="shared" si="5"/>
        <v>49728.57</v>
      </c>
    </row>
    <row r="33" spans="1:33" ht="18" x14ac:dyDescent="0.25">
      <c r="A33" s="92">
        <v>11</v>
      </c>
      <c r="B33" s="22" t="s">
        <v>175</v>
      </c>
      <c r="C33" s="87" t="s">
        <v>119</v>
      </c>
      <c r="D33" s="87" t="s">
        <v>118</v>
      </c>
      <c r="E33" s="88" t="s">
        <v>117</v>
      </c>
      <c r="F33" s="87"/>
      <c r="G33" s="121" t="s">
        <v>204</v>
      </c>
      <c r="H33" s="123">
        <v>2.98</v>
      </c>
      <c r="I33" s="87">
        <v>1</v>
      </c>
      <c r="J33" s="82">
        <f t="shared" si="0"/>
        <v>52737.06</v>
      </c>
      <c r="K33" s="79">
        <v>100</v>
      </c>
      <c r="L33" s="79">
        <f t="shared" si="6"/>
        <v>52737.06</v>
      </c>
      <c r="M33" s="87"/>
      <c r="N33" s="82">
        <f t="shared" ref="N33:N41" si="47">SUM(J33*M33)/100</f>
        <v>0</v>
      </c>
      <c r="O33" s="79">
        <f t="shared" si="2"/>
        <v>105474.12</v>
      </c>
      <c r="P33" s="79"/>
      <c r="Q33" s="79"/>
      <c r="R33" s="87"/>
      <c r="S33" s="87">
        <f>SUM($H$15*0.2)*R33</f>
        <v>0</v>
      </c>
      <c r="T33" s="87"/>
      <c r="U33" s="87"/>
      <c r="V33" s="79"/>
      <c r="W33" s="87">
        <f>$H$15*0.3*V33</f>
        <v>0</v>
      </c>
      <c r="X33" s="87"/>
      <c r="Y33" s="88">
        <f>SUM($H$15*X33/100)</f>
        <v>0</v>
      </c>
      <c r="Z33" s="87"/>
      <c r="AA33" s="56">
        <f t="shared" si="26"/>
        <v>0</v>
      </c>
      <c r="AB33" s="87"/>
      <c r="AC33" s="87">
        <f t="shared" ref="AC33:AC41" si="48">SUM($H$15*H33*I33*0.5/168*8)*AB33</f>
        <v>0</v>
      </c>
      <c r="AD33" s="87">
        <v>1</v>
      </c>
      <c r="AE33" s="79">
        <f t="shared" ref="AE33:AE43" si="49">SUM((J33/I33*AD33)*0.1)</f>
        <v>5273.7060000000001</v>
      </c>
      <c r="AF33" s="82">
        <f t="shared" si="4"/>
        <v>5273.7060000000001</v>
      </c>
      <c r="AG33" s="82">
        <f t="shared" si="5"/>
        <v>110747.826</v>
      </c>
    </row>
    <row r="34" spans="1:33" ht="18.75" x14ac:dyDescent="0.25">
      <c r="A34" s="92">
        <v>12</v>
      </c>
      <c r="B34" s="154" t="s">
        <v>187</v>
      </c>
      <c r="C34" s="83" t="s">
        <v>197</v>
      </c>
      <c r="D34" s="83" t="s">
        <v>116</v>
      </c>
      <c r="E34" s="86">
        <f>[1]Адмхоз!E42</f>
        <v>2</v>
      </c>
      <c r="F34" s="83">
        <f>[1]Адмхоз!F42</f>
        <v>0</v>
      </c>
      <c r="G34" s="121">
        <v>13</v>
      </c>
      <c r="H34" s="123">
        <v>2.81</v>
      </c>
      <c r="I34" s="83">
        <v>1.5</v>
      </c>
      <c r="J34" s="82">
        <f t="shared" si="0"/>
        <v>74592.854999999996</v>
      </c>
      <c r="K34" s="79">
        <v>100</v>
      </c>
      <c r="L34" s="79">
        <f t="shared" si="6"/>
        <v>74592.854999999996</v>
      </c>
      <c r="M34" s="83"/>
      <c r="N34" s="82">
        <f t="shared" si="47"/>
        <v>0</v>
      </c>
      <c r="O34" s="79">
        <f t="shared" si="2"/>
        <v>149185.71</v>
      </c>
      <c r="P34" s="79"/>
      <c r="Q34" s="82"/>
      <c r="R34" s="83"/>
      <c r="S34" s="83">
        <f>SUM($H$15*0.2)*R34</f>
        <v>0</v>
      </c>
      <c r="T34" s="83"/>
      <c r="U34" s="83"/>
      <c r="V34" s="82">
        <v>1</v>
      </c>
      <c r="W34" s="83">
        <f>$H$15*0.3*V34</f>
        <v>5309.0999999999995</v>
      </c>
      <c r="X34" s="83"/>
      <c r="Y34" s="88">
        <f t="shared" ref="Y34:Y41" si="50">SUM($H$15*X34/100)</f>
        <v>0</v>
      </c>
      <c r="Z34" s="83"/>
      <c r="AA34" s="56">
        <f t="shared" si="26"/>
        <v>0</v>
      </c>
      <c r="AB34" s="83"/>
      <c r="AC34" s="83">
        <f t="shared" si="48"/>
        <v>0</v>
      </c>
      <c r="AD34" s="83">
        <v>1</v>
      </c>
      <c r="AE34" s="82">
        <f t="shared" si="49"/>
        <v>4972.857</v>
      </c>
      <c r="AF34" s="82">
        <f t="shared" si="4"/>
        <v>10281.956999999999</v>
      </c>
      <c r="AG34" s="82">
        <f>SUM(O34+AF34)</f>
        <v>159467.66699999999</v>
      </c>
    </row>
    <row r="35" spans="1:33" ht="18" customHeight="1" x14ac:dyDescent="0.25">
      <c r="A35" s="92">
        <v>13</v>
      </c>
      <c r="B35" s="154" t="s">
        <v>177</v>
      </c>
      <c r="C35" s="83" t="s">
        <v>197</v>
      </c>
      <c r="D35" s="83" t="s">
        <v>116</v>
      </c>
      <c r="E35" s="86">
        <v>2</v>
      </c>
      <c r="F35" s="83"/>
      <c r="G35" s="121">
        <v>12</v>
      </c>
      <c r="H35" s="123">
        <v>2.81</v>
      </c>
      <c r="I35" s="83">
        <v>1.5</v>
      </c>
      <c r="J35" s="82">
        <f t="shared" si="0"/>
        <v>74592.854999999996</v>
      </c>
      <c r="K35" s="79">
        <v>100</v>
      </c>
      <c r="L35" s="79">
        <f t="shared" ref="L35" si="51">(J35*K35)/100</f>
        <v>74592.854999999996</v>
      </c>
      <c r="M35" s="83"/>
      <c r="N35" s="82">
        <f t="shared" ref="N35" si="52">SUM(J35*M35)/100</f>
        <v>0</v>
      </c>
      <c r="O35" s="79">
        <f t="shared" ref="O35" si="53">J35+L35+N35</f>
        <v>149185.71</v>
      </c>
      <c r="P35" s="79"/>
      <c r="Q35" s="82"/>
      <c r="R35" s="83"/>
      <c r="S35" s="83">
        <f>SUM($H$15*0.2)*R35</f>
        <v>0</v>
      </c>
      <c r="T35" s="83"/>
      <c r="U35" s="83"/>
      <c r="V35" s="82">
        <v>1</v>
      </c>
      <c r="W35" s="83">
        <f>$H$15*0.3*V35</f>
        <v>5309.0999999999995</v>
      </c>
      <c r="X35" s="83"/>
      <c r="Y35" s="88">
        <f t="shared" ref="Y35" si="54">SUM($H$15*X35/100)</f>
        <v>0</v>
      </c>
      <c r="Z35" s="83"/>
      <c r="AA35" s="56">
        <f t="shared" ref="AA35" si="55">SUM($H$15*H35/168*24)/6*Z35</f>
        <v>0</v>
      </c>
      <c r="AB35" s="83"/>
      <c r="AC35" s="83">
        <f t="shared" si="48"/>
        <v>0</v>
      </c>
      <c r="AD35" s="83">
        <v>1</v>
      </c>
      <c r="AE35" s="82">
        <f t="shared" ref="AE35" si="56">SUM((J35/I35*AD35)*0.1)</f>
        <v>4972.857</v>
      </c>
      <c r="AF35" s="82">
        <f t="shared" si="4"/>
        <v>10281.956999999999</v>
      </c>
      <c r="AG35" s="82">
        <f>SUM(O35+AF35)</f>
        <v>159467.66699999999</v>
      </c>
    </row>
    <row r="36" spans="1:33" ht="18.75" x14ac:dyDescent="0.25">
      <c r="A36" s="128">
        <v>14</v>
      </c>
      <c r="B36" s="154" t="s">
        <v>162</v>
      </c>
      <c r="C36" s="83" t="s">
        <v>197</v>
      </c>
      <c r="D36" s="83" t="s">
        <v>116</v>
      </c>
      <c r="E36" s="86">
        <f>[1]Адмхоз!E43</f>
        <v>2</v>
      </c>
      <c r="F36" s="83">
        <f>[1]Адмхоз!F43</f>
        <v>0</v>
      </c>
      <c r="G36" s="121">
        <v>13</v>
      </c>
      <c r="H36" s="123">
        <v>2.81</v>
      </c>
      <c r="I36" s="83">
        <v>1.5</v>
      </c>
      <c r="J36" s="82">
        <f t="shared" si="0"/>
        <v>74592.854999999996</v>
      </c>
      <c r="K36" s="79">
        <v>100</v>
      </c>
      <c r="L36" s="79">
        <f t="shared" si="6"/>
        <v>74592.854999999996</v>
      </c>
      <c r="M36" s="83"/>
      <c r="N36" s="82">
        <f t="shared" si="47"/>
        <v>0</v>
      </c>
      <c r="O36" s="79">
        <f t="shared" si="2"/>
        <v>149185.71</v>
      </c>
      <c r="P36" s="79"/>
      <c r="Q36" s="82"/>
      <c r="R36" s="83"/>
      <c r="S36" s="83">
        <f>SUM($H$15*0.2)*R36</f>
        <v>0</v>
      </c>
      <c r="T36" s="83"/>
      <c r="U36" s="83"/>
      <c r="V36" s="82">
        <v>1</v>
      </c>
      <c r="W36" s="83">
        <f>$H$15*0.3*V36</f>
        <v>5309.0999999999995</v>
      </c>
      <c r="X36" s="83"/>
      <c r="Y36" s="88">
        <f t="shared" si="50"/>
        <v>0</v>
      </c>
      <c r="Z36" s="83"/>
      <c r="AA36" s="56">
        <f t="shared" si="26"/>
        <v>0</v>
      </c>
      <c r="AB36" s="83"/>
      <c r="AC36" s="83">
        <f t="shared" si="48"/>
        <v>0</v>
      </c>
      <c r="AD36" s="83">
        <v>1</v>
      </c>
      <c r="AE36" s="82">
        <f t="shared" si="49"/>
        <v>4972.857</v>
      </c>
      <c r="AF36" s="82">
        <f t="shared" si="4"/>
        <v>10281.956999999999</v>
      </c>
      <c r="AG36" s="82">
        <f t="shared" ref="AG36:AG46" si="57">SUM(O36+AF36)</f>
        <v>159467.66699999999</v>
      </c>
    </row>
    <row r="37" spans="1:33" ht="18.75" x14ac:dyDescent="0.25">
      <c r="A37" s="134">
        <v>15</v>
      </c>
      <c r="B37" s="135" t="s">
        <v>193</v>
      </c>
      <c r="C37" s="83" t="s">
        <v>197</v>
      </c>
      <c r="D37" s="83" t="s">
        <v>116</v>
      </c>
      <c r="E37" s="86">
        <v>2</v>
      </c>
      <c r="F37" s="83">
        <v>0</v>
      </c>
      <c r="G37" s="121">
        <v>12</v>
      </c>
      <c r="H37" s="123">
        <v>2.81</v>
      </c>
      <c r="I37" s="83">
        <v>1.5</v>
      </c>
      <c r="J37" s="82">
        <f t="shared" ref="J37:J40" si="58">$H$15*H37*I37</f>
        <v>74592.854999999996</v>
      </c>
      <c r="K37" s="79">
        <v>100</v>
      </c>
      <c r="L37" s="79">
        <f t="shared" ref="L37:L40" si="59">(J37*K37)/100</f>
        <v>74592.854999999996</v>
      </c>
      <c r="M37" s="83"/>
      <c r="N37" s="82">
        <f t="shared" ref="N37:N40" si="60">SUM(J37*M37)/100</f>
        <v>0</v>
      </c>
      <c r="O37" s="79">
        <f t="shared" ref="O37:O40" si="61">J37+L37+N37</f>
        <v>149185.71</v>
      </c>
      <c r="P37" s="79"/>
      <c r="Q37" s="82"/>
      <c r="R37" s="83"/>
      <c r="S37" s="83">
        <f t="shared" ref="S37:S40" si="62">SUM($H$15*0.2)*R37</f>
        <v>0</v>
      </c>
      <c r="T37" s="83"/>
      <c r="U37" s="83"/>
      <c r="V37" s="82">
        <v>1</v>
      </c>
      <c r="W37" s="83">
        <f t="shared" ref="W37:W40" si="63">$H$15*0.3*V37</f>
        <v>5309.0999999999995</v>
      </c>
      <c r="X37" s="83"/>
      <c r="Y37" s="88">
        <f t="shared" ref="Y37:Y40" si="64">SUM($H$15*X37/100)</f>
        <v>0</v>
      </c>
      <c r="Z37" s="83"/>
      <c r="AA37" s="56">
        <f t="shared" ref="AA37:AA40" si="65">SUM($H$15*H37/168*24)/6*Z37</f>
        <v>0</v>
      </c>
      <c r="AB37" s="83"/>
      <c r="AC37" s="83">
        <f t="shared" ref="AC37:AC40" si="66">SUM($H$15*H37*I37*0.5/168*8)*AB37</f>
        <v>0</v>
      </c>
      <c r="AD37" s="83">
        <v>1</v>
      </c>
      <c r="AE37" s="82">
        <f t="shared" ref="AE37:AE40" si="67">SUM((J37/I37*AD37)*0.1)</f>
        <v>4972.857</v>
      </c>
      <c r="AF37" s="82">
        <f t="shared" si="4"/>
        <v>10281.956999999999</v>
      </c>
      <c r="AG37" s="82">
        <f t="shared" ref="AG37:AG40" si="68">SUM(O37+AF37)</f>
        <v>159467.66699999999</v>
      </c>
    </row>
    <row r="38" spans="1:33" ht="18.75" x14ac:dyDescent="0.25">
      <c r="A38" s="134">
        <v>16</v>
      </c>
      <c r="B38" s="147" t="s">
        <v>194</v>
      </c>
      <c r="C38" s="83" t="s">
        <v>197</v>
      </c>
      <c r="D38" s="83" t="s">
        <v>116</v>
      </c>
      <c r="E38" s="86">
        <v>2</v>
      </c>
      <c r="F38" s="83">
        <v>0</v>
      </c>
      <c r="G38" s="121">
        <v>21</v>
      </c>
      <c r="H38" s="123">
        <v>2.81</v>
      </c>
      <c r="I38" s="83">
        <v>1.5</v>
      </c>
      <c r="J38" s="82">
        <f t="shared" si="58"/>
        <v>74592.854999999996</v>
      </c>
      <c r="K38" s="79">
        <v>100</v>
      </c>
      <c r="L38" s="79">
        <f t="shared" si="59"/>
        <v>74592.854999999996</v>
      </c>
      <c r="M38" s="83"/>
      <c r="N38" s="82">
        <f t="shared" si="60"/>
        <v>0</v>
      </c>
      <c r="O38" s="79">
        <f t="shared" si="61"/>
        <v>149185.71</v>
      </c>
      <c r="P38" s="79"/>
      <c r="Q38" s="82"/>
      <c r="R38" s="83"/>
      <c r="S38" s="83">
        <f t="shared" si="62"/>
        <v>0</v>
      </c>
      <c r="T38" s="83"/>
      <c r="U38" s="83"/>
      <c r="V38" s="82">
        <v>1</v>
      </c>
      <c r="W38" s="83">
        <f t="shared" si="63"/>
        <v>5309.0999999999995</v>
      </c>
      <c r="X38" s="83"/>
      <c r="Y38" s="88">
        <f t="shared" si="64"/>
        <v>0</v>
      </c>
      <c r="Z38" s="83"/>
      <c r="AA38" s="56">
        <f t="shared" si="65"/>
        <v>0</v>
      </c>
      <c r="AB38" s="83"/>
      <c r="AC38" s="83">
        <f t="shared" si="66"/>
        <v>0</v>
      </c>
      <c r="AD38" s="83">
        <v>1</v>
      </c>
      <c r="AE38" s="82">
        <f t="shared" si="67"/>
        <v>4972.857</v>
      </c>
      <c r="AF38" s="82">
        <f t="shared" si="4"/>
        <v>10281.956999999999</v>
      </c>
      <c r="AG38" s="82">
        <f t="shared" si="68"/>
        <v>159467.66699999999</v>
      </c>
    </row>
    <row r="39" spans="1:33" ht="18.75" x14ac:dyDescent="0.25">
      <c r="A39" s="134">
        <v>17</v>
      </c>
      <c r="B39" s="147" t="s">
        <v>195</v>
      </c>
      <c r="C39" s="83" t="s">
        <v>197</v>
      </c>
      <c r="D39" s="83" t="s">
        <v>116</v>
      </c>
      <c r="E39" s="86">
        <v>2</v>
      </c>
      <c r="F39" s="83">
        <v>0</v>
      </c>
      <c r="G39" s="121">
        <v>19</v>
      </c>
      <c r="H39" s="123">
        <v>2.81</v>
      </c>
      <c r="I39" s="83">
        <v>1.5</v>
      </c>
      <c r="J39" s="82">
        <f t="shared" si="58"/>
        <v>74592.854999999996</v>
      </c>
      <c r="K39" s="79">
        <v>100</v>
      </c>
      <c r="L39" s="79">
        <f t="shared" si="59"/>
        <v>74592.854999999996</v>
      </c>
      <c r="M39" s="83"/>
      <c r="N39" s="82">
        <f t="shared" si="60"/>
        <v>0</v>
      </c>
      <c r="O39" s="79">
        <f t="shared" si="61"/>
        <v>149185.71</v>
      </c>
      <c r="P39" s="79"/>
      <c r="Q39" s="82"/>
      <c r="R39" s="83"/>
      <c r="S39" s="83">
        <f t="shared" si="62"/>
        <v>0</v>
      </c>
      <c r="T39" s="83"/>
      <c r="U39" s="83"/>
      <c r="V39" s="82">
        <v>1</v>
      </c>
      <c r="W39" s="83">
        <f t="shared" si="63"/>
        <v>5309.0999999999995</v>
      </c>
      <c r="X39" s="83"/>
      <c r="Y39" s="88">
        <f t="shared" si="64"/>
        <v>0</v>
      </c>
      <c r="Z39" s="83"/>
      <c r="AA39" s="56">
        <f t="shared" si="65"/>
        <v>0</v>
      </c>
      <c r="AB39" s="83"/>
      <c r="AC39" s="83">
        <f t="shared" si="66"/>
        <v>0</v>
      </c>
      <c r="AD39" s="83">
        <v>1</v>
      </c>
      <c r="AE39" s="82">
        <f t="shared" si="67"/>
        <v>4972.857</v>
      </c>
      <c r="AF39" s="82">
        <f t="shared" si="4"/>
        <v>10281.956999999999</v>
      </c>
      <c r="AG39" s="82">
        <f t="shared" si="68"/>
        <v>159467.66699999999</v>
      </c>
    </row>
    <row r="40" spans="1:33" ht="18.75" x14ac:dyDescent="0.25">
      <c r="A40" s="134">
        <v>18</v>
      </c>
      <c r="B40" s="147" t="s">
        <v>196</v>
      </c>
      <c r="C40" s="83" t="s">
        <v>197</v>
      </c>
      <c r="D40" s="83" t="s">
        <v>116</v>
      </c>
      <c r="E40" s="86">
        <v>2</v>
      </c>
      <c r="F40" s="83">
        <v>0</v>
      </c>
      <c r="G40" s="121">
        <v>14</v>
      </c>
      <c r="H40" s="123">
        <v>2.81</v>
      </c>
      <c r="I40" s="83">
        <v>1.5</v>
      </c>
      <c r="J40" s="82">
        <f t="shared" si="58"/>
        <v>74592.854999999996</v>
      </c>
      <c r="K40" s="79">
        <v>100</v>
      </c>
      <c r="L40" s="79">
        <f t="shared" si="59"/>
        <v>74592.854999999996</v>
      </c>
      <c r="M40" s="83"/>
      <c r="N40" s="82">
        <f t="shared" si="60"/>
        <v>0</v>
      </c>
      <c r="O40" s="79">
        <f t="shared" si="61"/>
        <v>149185.71</v>
      </c>
      <c r="P40" s="79"/>
      <c r="Q40" s="82"/>
      <c r="R40" s="83"/>
      <c r="S40" s="83">
        <f t="shared" si="62"/>
        <v>0</v>
      </c>
      <c r="T40" s="83"/>
      <c r="U40" s="83"/>
      <c r="V40" s="82">
        <v>1</v>
      </c>
      <c r="W40" s="83">
        <f t="shared" si="63"/>
        <v>5309.0999999999995</v>
      </c>
      <c r="X40" s="83"/>
      <c r="Y40" s="88">
        <f t="shared" si="64"/>
        <v>0</v>
      </c>
      <c r="Z40" s="83"/>
      <c r="AA40" s="56">
        <f t="shared" si="65"/>
        <v>0</v>
      </c>
      <c r="AB40" s="83"/>
      <c r="AC40" s="83">
        <f t="shared" si="66"/>
        <v>0</v>
      </c>
      <c r="AD40" s="83">
        <v>1</v>
      </c>
      <c r="AE40" s="82">
        <f t="shared" si="67"/>
        <v>4972.857</v>
      </c>
      <c r="AF40" s="82">
        <f t="shared" si="4"/>
        <v>10281.956999999999</v>
      </c>
      <c r="AG40" s="82">
        <f t="shared" si="68"/>
        <v>159467.66699999999</v>
      </c>
    </row>
    <row r="41" spans="1:33" ht="16.5" customHeight="1" x14ac:dyDescent="0.3">
      <c r="A41" s="92">
        <v>19</v>
      </c>
      <c r="B41" s="155" t="s">
        <v>203</v>
      </c>
      <c r="C41" s="83" t="s">
        <v>197</v>
      </c>
      <c r="D41" s="83" t="s">
        <v>116</v>
      </c>
      <c r="E41" s="86">
        <v>2</v>
      </c>
      <c r="F41" s="83">
        <f>[1]Адмхоз!F61</f>
        <v>0</v>
      </c>
      <c r="G41" s="121">
        <v>28</v>
      </c>
      <c r="H41" s="123">
        <v>2.81</v>
      </c>
      <c r="I41" s="83">
        <v>1.5</v>
      </c>
      <c r="J41" s="82">
        <f t="shared" si="0"/>
        <v>74592.854999999996</v>
      </c>
      <c r="K41" s="79">
        <v>100</v>
      </c>
      <c r="L41" s="79">
        <f t="shared" si="6"/>
        <v>74592.854999999996</v>
      </c>
      <c r="M41" s="83"/>
      <c r="N41" s="82">
        <f t="shared" si="47"/>
        <v>0</v>
      </c>
      <c r="O41" s="79">
        <f t="shared" si="2"/>
        <v>149185.71</v>
      </c>
      <c r="P41" s="79"/>
      <c r="Q41" s="82"/>
      <c r="R41" s="83"/>
      <c r="S41" s="83">
        <f>SUM($H$15*0.2)*R41</f>
        <v>0</v>
      </c>
      <c r="T41" s="83"/>
      <c r="U41" s="83"/>
      <c r="V41" s="82"/>
      <c r="W41" s="83">
        <f t="shared" ref="W41:W43" si="69">$H$15*0.3*V41</f>
        <v>0</v>
      </c>
      <c r="X41" s="83"/>
      <c r="Y41" s="88">
        <f t="shared" si="50"/>
        <v>0</v>
      </c>
      <c r="Z41" s="83"/>
      <c r="AA41" s="56">
        <f t="shared" si="26"/>
        <v>0</v>
      </c>
      <c r="AB41" s="83"/>
      <c r="AC41" s="82">
        <f t="shared" si="48"/>
        <v>0</v>
      </c>
      <c r="AD41" s="83">
        <v>1</v>
      </c>
      <c r="AE41" s="82">
        <f t="shared" si="49"/>
        <v>4972.857</v>
      </c>
      <c r="AF41" s="82">
        <f t="shared" si="4"/>
        <v>4972.857</v>
      </c>
      <c r="AG41" s="82">
        <f t="shared" si="57"/>
        <v>154158.56699999998</v>
      </c>
    </row>
    <row r="42" spans="1:33" ht="19.5" customHeight="1" x14ac:dyDescent="0.25">
      <c r="A42" s="132">
        <v>20</v>
      </c>
      <c r="B42" s="148" t="s">
        <v>280</v>
      </c>
      <c r="C42" s="133" t="s">
        <v>202</v>
      </c>
      <c r="D42" s="83" t="s">
        <v>116</v>
      </c>
      <c r="E42" s="116">
        <v>3</v>
      </c>
      <c r="F42" s="57"/>
      <c r="G42" s="122"/>
      <c r="H42" s="124">
        <v>2.84</v>
      </c>
      <c r="I42" s="57">
        <v>1.5</v>
      </c>
      <c r="J42" s="117">
        <f t="shared" si="0"/>
        <v>75389.22</v>
      </c>
      <c r="K42" s="79">
        <v>100</v>
      </c>
      <c r="L42" s="79">
        <f t="shared" si="6"/>
        <v>75389.22</v>
      </c>
      <c r="M42" s="56"/>
      <c r="N42" s="117"/>
      <c r="O42" s="118">
        <f t="shared" si="2"/>
        <v>150778.44</v>
      </c>
      <c r="P42" s="118"/>
      <c r="Q42" s="117"/>
      <c r="R42" s="57"/>
      <c r="S42" s="83">
        <f t="shared" ref="S42:S47" si="70">SUM($H$15*0.2)*R42</f>
        <v>0</v>
      </c>
      <c r="T42" s="57"/>
      <c r="U42" s="57"/>
      <c r="V42" s="117">
        <v>1</v>
      </c>
      <c r="W42" s="83">
        <f t="shared" si="69"/>
        <v>5309.0999999999995</v>
      </c>
      <c r="X42" s="57"/>
      <c r="Y42" s="88"/>
      <c r="Z42" s="57">
        <v>2</v>
      </c>
      <c r="AA42" s="56">
        <f t="shared" si="26"/>
        <v>2393.3085714285712</v>
      </c>
      <c r="AB42" s="57">
        <v>7</v>
      </c>
      <c r="AC42" s="83">
        <f t="shared" ref="AC42:AC43" si="71">SUM($H$15*H42*I42*0.5/168*8)*AB42</f>
        <v>12564.869999999999</v>
      </c>
      <c r="AD42" s="57">
        <v>1</v>
      </c>
      <c r="AE42" s="117">
        <f t="shared" si="49"/>
        <v>5025.9480000000003</v>
      </c>
      <c r="AF42" s="82">
        <f t="shared" si="4"/>
        <v>25293.226571428571</v>
      </c>
      <c r="AG42" s="82">
        <f t="shared" si="57"/>
        <v>176071.66657142856</v>
      </c>
    </row>
    <row r="43" spans="1:33" ht="18.75" x14ac:dyDescent="0.25">
      <c r="A43" s="132">
        <v>21</v>
      </c>
      <c r="B43" s="148" t="s">
        <v>281</v>
      </c>
      <c r="C43" s="133" t="s">
        <v>202</v>
      </c>
      <c r="D43" s="83" t="s">
        <v>116</v>
      </c>
      <c r="E43" s="116">
        <v>3</v>
      </c>
      <c r="F43" s="57"/>
      <c r="G43" s="122"/>
      <c r="H43" s="124">
        <v>2.84</v>
      </c>
      <c r="I43" s="57">
        <v>1.5</v>
      </c>
      <c r="J43" s="117">
        <f t="shared" si="0"/>
        <v>75389.22</v>
      </c>
      <c r="K43" s="79">
        <v>100</v>
      </c>
      <c r="L43" s="79">
        <f t="shared" si="6"/>
        <v>75389.22</v>
      </c>
      <c r="M43" s="56"/>
      <c r="N43" s="117"/>
      <c r="O43" s="118">
        <f t="shared" si="2"/>
        <v>150778.44</v>
      </c>
      <c r="P43" s="118"/>
      <c r="Q43" s="117"/>
      <c r="R43" s="57"/>
      <c r="S43" s="83">
        <f t="shared" si="70"/>
        <v>0</v>
      </c>
      <c r="T43" s="57"/>
      <c r="U43" s="57"/>
      <c r="V43" s="117">
        <v>1</v>
      </c>
      <c r="W43" s="83">
        <f t="shared" si="69"/>
        <v>5309.0999999999995</v>
      </c>
      <c r="X43" s="57"/>
      <c r="Y43" s="88"/>
      <c r="Z43" s="57">
        <v>2</v>
      </c>
      <c r="AA43" s="56">
        <f t="shared" si="26"/>
        <v>2393.3085714285712</v>
      </c>
      <c r="AB43" s="57">
        <v>7</v>
      </c>
      <c r="AC43" s="83">
        <f t="shared" si="71"/>
        <v>12564.869999999999</v>
      </c>
      <c r="AD43" s="57">
        <v>1</v>
      </c>
      <c r="AE43" s="117">
        <f t="shared" si="49"/>
        <v>5025.9480000000003</v>
      </c>
      <c r="AF43" s="82">
        <f t="shared" si="4"/>
        <v>25293.226571428571</v>
      </c>
      <c r="AG43" s="82">
        <f t="shared" si="57"/>
        <v>176071.66657142856</v>
      </c>
    </row>
    <row r="44" spans="1:33" ht="18.75" customHeight="1" x14ac:dyDescent="0.25">
      <c r="A44" s="329">
        <v>22</v>
      </c>
      <c r="B44" s="331" t="s">
        <v>174</v>
      </c>
      <c r="C44" s="87" t="s">
        <v>192</v>
      </c>
      <c r="D44" s="83" t="s">
        <v>116</v>
      </c>
      <c r="E44" s="137">
        <v>2</v>
      </c>
      <c r="F44" s="87"/>
      <c r="G44" s="121">
        <v>36</v>
      </c>
      <c r="H44" s="123">
        <v>2.84</v>
      </c>
      <c r="I44" s="90">
        <v>0.5</v>
      </c>
      <c r="J44" s="82">
        <f t="shared" si="0"/>
        <v>25129.739999999998</v>
      </c>
      <c r="K44" s="79">
        <v>100</v>
      </c>
      <c r="L44" s="79">
        <f t="shared" si="6"/>
        <v>25129.74</v>
      </c>
      <c r="M44" s="87"/>
      <c r="N44" s="79">
        <v>0</v>
      </c>
      <c r="O44" s="79">
        <f t="shared" si="2"/>
        <v>50259.479999999996</v>
      </c>
      <c r="P44" s="79"/>
      <c r="Q44" s="89"/>
      <c r="R44" s="91"/>
      <c r="S44" s="83">
        <f t="shared" si="70"/>
        <v>0</v>
      </c>
      <c r="T44" s="91"/>
      <c r="U44" s="91"/>
      <c r="V44" s="91"/>
      <c r="W44" s="91"/>
      <c r="X44" s="91"/>
      <c r="Y44" s="91"/>
      <c r="Z44" s="91"/>
      <c r="AA44" s="56">
        <f t="shared" ref="AA44" si="72">SUM($H$15*H44/168*24)/6*Z44</f>
        <v>0</v>
      </c>
      <c r="AB44" s="91"/>
      <c r="AC44" s="91"/>
      <c r="AD44" s="90">
        <v>0.5</v>
      </c>
      <c r="AE44" s="79"/>
      <c r="AF44" s="82">
        <f t="shared" si="4"/>
        <v>0</v>
      </c>
      <c r="AG44" s="82">
        <f t="shared" si="57"/>
        <v>50259.479999999996</v>
      </c>
    </row>
    <row r="45" spans="1:33" ht="18" x14ac:dyDescent="0.25">
      <c r="A45" s="330"/>
      <c r="B45" s="332"/>
      <c r="C45" s="83" t="s">
        <v>165</v>
      </c>
      <c r="D45" s="83" t="s">
        <v>116</v>
      </c>
      <c r="E45" s="86">
        <v>6</v>
      </c>
      <c r="F45" s="83"/>
      <c r="G45" s="85">
        <v>36</v>
      </c>
      <c r="H45" s="84">
        <v>2.96</v>
      </c>
      <c r="I45" s="57">
        <v>1</v>
      </c>
      <c r="J45" s="117">
        <f t="shared" si="0"/>
        <v>52383.12</v>
      </c>
      <c r="K45" s="79">
        <v>100</v>
      </c>
      <c r="L45" s="79">
        <f t="shared" si="6"/>
        <v>52383.12</v>
      </c>
      <c r="M45" s="83"/>
      <c r="N45" s="117">
        <f>SUM(J45+L45)*M45/100</f>
        <v>0</v>
      </c>
      <c r="O45" s="118">
        <f t="shared" si="2"/>
        <v>104766.24</v>
      </c>
      <c r="P45" s="118"/>
      <c r="Q45" s="82"/>
      <c r="R45" s="83"/>
      <c r="S45" s="83"/>
      <c r="T45" s="83">
        <v>50</v>
      </c>
      <c r="U45" s="83">
        <f>SUM(O45)*T45/100</f>
        <v>52383.12</v>
      </c>
      <c r="V45" s="82"/>
      <c r="W45" s="83"/>
      <c r="X45" s="83">
        <v>35</v>
      </c>
      <c r="Y45" s="88">
        <f t="shared" ref="Y45" si="73">SUM($H$15*X45/100)</f>
        <v>6193.95</v>
      </c>
      <c r="Z45" s="83"/>
      <c r="AA45" s="56">
        <f t="shared" ref="AA45" si="74">SUM($H$15*H45/168*24)/6*Z45</f>
        <v>0</v>
      </c>
      <c r="AB45" s="83"/>
      <c r="AC45" s="83"/>
      <c r="AD45" s="57">
        <v>1</v>
      </c>
      <c r="AE45" s="117">
        <f>SUM(((J45+L45+N45)/I45*AD45)*0.1)</f>
        <v>10476.624000000002</v>
      </c>
      <c r="AF45" s="82">
        <f>SUM(Q45+S45+U45+W45+Y45+AA45+AC45+AE45)</f>
        <v>69053.694000000003</v>
      </c>
      <c r="AG45" s="82">
        <f t="shared" si="57"/>
        <v>173819.93400000001</v>
      </c>
    </row>
    <row r="46" spans="1:33" ht="20.25" customHeight="1" x14ac:dyDescent="0.25">
      <c r="A46" s="131">
        <v>23</v>
      </c>
      <c r="B46" s="156" t="s">
        <v>246</v>
      </c>
      <c r="C46" s="57" t="s">
        <v>163</v>
      </c>
      <c r="D46" s="57" t="s">
        <v>116</v>
      </c>
      <c r="E46" s="116">
        <v>2</v>
      </c>
      <c r="F46" s="57">
        <v>0</v>
      </c>
      <c r="G46" s="122">
        <v>26</v>
      </c>
      <c r="H46" s="124">
        <v>2.84</v>
      </c>
      <c r="I46" s="57">
        <v>1.5</v>
      </c>
      <c r="J46" s="117">
        <f t="shared" si="0"/>
        <v>75389.22</v>
      </c>
      <c r="K46" s="79">
        <v>100</v>
      </c>
      <c r="L46" s="79">
        <f t="shared" si="6"/>
        <v>75389.22</v>
      </c>
      <c r="M46" s="56"/>
      <c r="N46" s="117">
        <f t="shared" ref="N46" si="75">SUM(J46*M46)/100</f>
        <v>0</v>
      </c>
      <c r="O46" s="118">
        <f t="shared" si="2"/>
        <v>150778.44</v>
      </c>
      <c r="P46" s="118"/>
      <c r="Q46" s="117"/>
      <c r="R46" s="57"/>
      <c r="S46" s="83">
        <f t="shared" si="70"/>
        <v>0</v>
      </c>
      <c r="T46" s="57"/>
      <c r="U46" s="83"/>
      <c r="V46" s="117"/>
      <c r="W46" s="83">
        <f t="shared" ref="W46" si="76">$H$15*0.3*V46</f>
        <v>0</v>
      </c>
      <c r="X46" s="57"/>
      <c r="Y46" s="88">
        <f t="shared" ref="Y46" si="77">SUM($H$15*X46/100)</f>
        <v>0</v>
      </c>
      <c r="Z46" s="57"/>
      <c r="AA46" s="56">
        <f t="shared" ref="AA46:AA47" si="78">SUM($H$15*H46/168*24)/6*Z46</f>
        <v>0</v>
      </c>
      <c r="AB46" s="57"/>
      <c r="AC46" s="83">
        <f t="shared" ref="AC46" si="79">SUM($H$15*H46*I46*0.5/168*8)*AB46</f>
        <v>0</v>
      </c>
      <c r="AD46" s="57">
        <v>1</v>
      </c>
      <c r="AE46" s="117">
        <f t="shared" ref="AE46" si="80">SUM((J46/I46*AD46)*0.1)</f>
        <v>5025.9480000000003</v>
      </c>
      <c r="AF46" s="82">
        <f t="shared" ref="AF46:AF55" si="81">SUM(Q46+S46+U46+W46+Y46+AA46+AC46+AE46)</f>
        <v>5025.9480000000003</v>
      </c>
      <c r="AG46" s="82">
        <f t="shared" si="57"/>
        <v>155804.38800000001</v>
      </c>
    </row>
    <row r="47" spans="1:33" ht="18.75" customHeight="1" x14ac:dyDescent="0.25">
      <c r="A47" s="131">
        <v>24</v>
      </c>
      <c r="B47" s="156" t="s">
        <v>279</v>
      </c>
      <c r="C47" s="83" t="s">
        <v>278</v>
      </c>
      <c r="D47" s="83" t="s">
        <v>10</v>
      </c>
      <c r="E47" s="86" t="s">
        <v>289</v>
      </c>
      <c r="F47" s="83"/>
      <c r="G47" s="85">
        <v>13</v>
      </c>
      <c r="H47" s="84">
        <v>4.51</v>
      </c>
      <c r="I47" s="57">
        <v>1</v>
      </c>
      <c r="J47" s="117">
        <f t="shared" si="0"/>
        <v>79813.47</v>
      </c>
      <c r="K47" s="79">
        <v>100</v>
      </c>
      <c r="L47" s="79">
        <f t="shared" si="6"/>
        <v>79813.47</v>
      </c>
      <c r="M47" s="83">
        <v>25</v>
      </c>
      <c r="N47" s="117">
        <f t="shared" ref="N47" si="82">SUM(J47*M47)/100</f>
        <v>19953.3675</v>
      </c>
      <c r="O47" s="118">
        <f t="shared" ref="O47" si="83">J47+L47+N47</f>
        <v>179580.3075</v>
      </c>
      <c r="P47" s="118"/>
      <c r="Q47" s="82"/>
      <c r="R47" s="83">
        <v>1</v>
      </c>
      <c r="S47" s="83">
        <f t="shared" si="70"/>
        <v>3539.4</v>
      </c>
      <c r="T47" s="83"/>
      <c r="U47" s="83"/>
      <c r="V47" s="82"/>
      <c r="W47" s="83"/>
      <c r="X47" s="83"/>
      <c r="Y47" s="88"/>
      <c r="Z47" s="83"/>
      <c r="AA47" s="56">
        <f t="shared" si="78"/>
        <v>0</v>
      </c>
      <c r="AB47" s="83"/>
      <c r="AC47" s="83"/>
      <c r="AD47" s="57">
        <v>1</v>
      </c>
      <c r="AE47" s="117">
        <f t="shared" ref="AE47" si="84">SUM((J47/I47*AD47)*0.1)</f>
        <v>7981.3470000000007</v>
      </c>
      <c r="AF47" s="82">
        <f t="shared" si="81"/>
        <v>11520.747000000001</v>
      </c>
      <c r="AG47" s="82">
        <f t="shared" ref="AG47" si="85">SUM(O47+AF47)</f>
        <v>191101.0545</v>
      </c>
    </row>
    <row r="48" spans="1:33" ht="18.75" customHeight="1" x14ac:dyDescent="0.25">
      <c r="A48" s="329">
        <v>25</v>
      </c>
      <c r="B48" s="331" t="s">
        <v>200</v>
      </c>
      <c r="C48" s="83" t="s">
        <v>165</v>
      </c>
      <c r="D48" s="83" t="s">
        <v>116</v>
      </c>
      <c r="E48" s="86">
        <v>6</v>
      </c>
      <c r="F48" s="83"/>
      <c r="G48" s="85">
        <v>36</v>
      </c>
      <c r="H48" s="84">
        <v>2.96</v>
      </c>
      <c r="I48" s="57">
        <v>1</v>
      </c>
      <c r="J48" s="117">
        <f t="shared" ref="J48:J50" si="86">$H$15*H48*I48</f>
        <v>52383.12</v>
      </c>
      <c r="K48" s="79">
        <v>100</v>
      </c>
      <c r="L48" s="79">
        <f t="shared" ref="L48:L50" si="87">(J48*K48)/100</f>
        <v>52383.12</v>
      </c>
      <c r="M48" s="83"/>
      <c r="N48" s="117">
        <f>SUM(J48+L48)*M48/100</f>
        <v>0</v>
      </c>
      <c r="O48" s="118">
        <f t="shared" ref="O48:O50" si="88">J48+L48+N48</f>
        <v>104766.24</v>
      </c>
      <c r="P48" s="118"/>
      <c r="Q48" s="82"/>
      <c r="R48" s="83"/>
      <c r="S48" s="83"/>
      <c r="T48" s="83">
        <v>50</v>
      </c>
      <c r="U48" s="83">
        <f t="shared" ref="U48" si="89">SUM(O48)*T48/100</f>
        <v>52383.12</v>
      </c>
      <c r="V48" s="82"/>
      <c r="W48" s="83"/>
      <c r="X48" s="83">
        <v>35</v>
      </c>
      <c r="Y48" s="88">
        <f t="shared" ref="Y48" si="90">SUM($H$15*X48/100)</f>
        <v>6193.95</v>
      </c>
      <c r="Z48" s="83"/>
      <c r="AA48" s="56">
        <f t="shared" ref="AA48:AA50" si="91">SUM($H$15*H48/168*24)/6*Z48</f>
        <v>0</v>
      </c>
      <c r="AB48" s="83"/>
      <c r="AC48" s="83"/>
      <c r="AD48" s="57">
        <v>1</v>
      </c>
      <c r="AE48" s="117">
        <f>SUM(((J48+L48+N48)/I48*AD48)*0.1)</f>
        <v>10476.624000000002</v>
      </c>
      <c r="AF48" s="82">
        <f t="shared" si="81"/>
        <v>69053.694000000003</v>
      </c>
      <c r="AG48" s="82">
        <f t="shared" ref="AG48:AG50" si="92">SUM(O48+AF48)</f>
        <v>173819.93400000001</v>
      </c>
    </row>
    <row r="49" spans="1:33" ht="18" x14ac:dyDescent="0.25">
      <c r="A49" s="330"/>
      <c r="B49" s="332"/>
      <c r="C49" s="83" t="s">
        <v>192</v>
      </c>
      <c r="D49" s="83" t="s">
        <v>116</v>
      </c>
      <c r="E49" s="137">
        <v>2</v>
      </c>
      <c r="F49" s="87"/>
      <c r="G49" s="121">
        <v>36</v>
      </c>
      <c r="H49" s="123">
        <v>2.84</v>
      </c>
      <c r="I49" s="90">
        <v>0.5</v>
      </c>
      <c r="J49" s="82">
        <f t="shared" si="86"/>
        <v>25129.739999999998</v>
      </c>
      <c r="K49" s="79">
        <v>100</v>
      </c>
      <c r="L49" s="79">
        <f t="shared" si="87"/>
        <v>25129.74</v>
      </c>
      <c r="M49" s="87"/>
      <c r="N49" s="79">
        <v>0</v>
      </c>
      <c r="O49" s="79">
        <f t="shared" si="88"/>
        <v>50259.479999999996</v>
      </c>
      <c r="P49" s="79"/>
      <c r="Q49" s="89"/>
      <c r="R49" s="91"/>
      <c r="S49" s="83">
        <v>0</v>
      </c>
      <c r="T49" s="91"/>
      <c r="U49" s="91"/>
      <c r="V49" s="91"/>
      <c r="W49" s="91"/>
      <c r="X49" s="91"/>
      <c r="Y49" s="91"/>
      <c r="Z49" s="91"/>
      <c r="AA49" s="56">
        <f t="shared" ref="AA49" si="93">SUM($H$15*H49/168*24)/6*Z49</f>
        <v>0</v>
      </c>
      <c r="AB49" s="91"/>
      <c r="AC49" s="91"/>
      <c r="AD49" s="90">
        <v>0.5</v>
      </c>
      <c r="AE49" s="79"/>
      <c r="AF49" s="82">
        <f t="shared" si="81"/>
        <v>0</v>
      </c>
      <c r="AG49" s="82">
        <f t="shared" si="92"/>
        <v>50259.479999999996</v>
      </c>
    </row>
    <row r="50" spans="1:33" ht="18.75" x14ac:dyDescent="0.25">
      <c r="A50" s="131">
        <v>26</v>
      </c>
      <c r="B50" s="149" t="s">
        <v>175</v>
      </c>
      <c r="C50" s="83" t="s">
        <v>201</v>
      </c>
      <c r="D50" s="83" t="s">
        <v>10</v>
      </c>
      <c r="E50" s="86" t="s">
        <v>117</v>
      </c>
      <c r="F50" s="83"/>
      <c r="G50" s="85" t="s">
        <v>204</v>
      </c>
      <c r="H50" s="84">
        <v>2.95</v>
      </c>
      <c r="I50" s="57">
        <v>1</v>
      </c>
      <c r="J50" s="117">
        <f t="shared" si="86"/>
        <v>52206.15</v>
      </c>
      <c r="K50" s="79">
        <v>100</v>
      </c>
      <c r="L50" s="79">
        <f t="shared" si="87"/>
        <v>52206.15</v>
      </c>
      <c r="M50" s="83"/>
      <c r="N50" s="117">
        <f t="shared" ref="N50" si="94">SUM(J50*M50)/100</f>
        <v>0</v>
      </c>
      <c r="O50" s="118">
        <f t="shared" si="88"/>
        <v>104412.3</v>
      </c>
      <c r="P50" s="118"/>
      <c r="Q50" s="82"/>
      <c r="R50" s="83"/>
      <c r="S50" s="83"/>
      <c r="T50" s="83"/>
      <c r="U50" s="83"/>
      <c r="V50" s="82"/>
      <c r="W50" s="83"/>
      <c r="X50" s="83"/>
      <c r="Y50" s="88"/>
      <c r="Z50" s="83"/>
      <c r="AA50" s="56">
        <f t="shared" si="91"/>
        <v>0</v>
      </c>
      <c r="AB50" s="83"/>
      <c r="AC50" s="83"/>
      <c r="AD50" s="57">
        <v>1</v>
      </c>
      <c r="AE50" s="117">
        <f t="shared" ref="AE50" si="95">SUM((J50/I50*AD50)*0.1)</f>
        <v>5220.6150000000007</v>
      </c>
      <c r="AF50" s="82">
        <f t="shared" si="81"/>
        <v>5220.6150000000007</v>
      </c>
      <c r="AG50" s="82">
        <f t="shared" si="92"/>
        <v>109632.91500000001</v>
      </c>
    </row>
    <row r="51" spans="1:33" ht="22.5" customHeight="1" x14ac:dyDescent="0.25">
      <c r="A51" s="131">
        <v>27</v>
      </c>
      <c r="B51" s="150" t="s">
        <v>286</v>
      </c>
      <c r="C51" s="83" t="s">
        <v>247</v>
      </c>
      <c r="D51" s="83" t="s">
        <v>116</v>
      </c>
      <c r="E51" s="137">
        <v>2</v>
      </c>
      <c r="F51" s="87"/>
      <c r="G51" s="121">
        <v>36</v>
      </c>
      <c r="H51" s="123">
        <v>2.84</v>
      </c>
      <c r="I51" s="90">
        <v>0.5</v>
      </c>
      <c r="J51" s="82">
        <f t="shared" ref="J51" si="96">$H$15*H51*I51</f>
        <v>25129.739999999998</v>
      </c>
      <c r="K51" s="79">
        <v>100</v>
      </c>
      <c r="L51" s="79">
        <f t="shared" ref="L51" si="97">(J51*K51)/100</f>
        <v>25129.74</v>
      </c>
      <c r="M51" s="87"/>
      <c r="N51" s="79">
        <v>0</v>
      </c>
      <c r="O51" s="79">
        <f t="shared" ref="O51" si="98">J51+L51+N51</f>
        <v>50259.479999999996</v>
      </c>
      <c r="P51" s="79"/>
      <c r="Q51" s="89"/>
      <c r="R51" s="91"/>
      <c r="S51" s="83">
        <v>0</v>
      </c>
      <c r="T51" s="91"/>
      <c r="U51" s="91"/>
      <c r="V51" s="91"/>
      <c r="W51" s="91"/>
      <c r="X51" s="91"/>
      <c r="Y51" s="91"/>
      <c r="Z51" s="91"/>
      <c r="AA51" s="56">
        <f t="shared" ref="AA51" si="99">SUM($H$15*H51/168*24)/6*Z51</f>
        <v>0</v>
      </c>
      <c r="AB51" s="91"/>
      <c r="AC51" s="91"/>
      <c r="AD51" s="90">
        <v>0.5</v>
      </c>
      <c r="AE51" s="79">
        <f t="shared" ref="AE51" si="100">O51*10%</f>
        <v>5025.9480000000003</v>
      </c>
      <c r="AF51" s="82">
        <f t="shared" si="81"/>
        <v>5025.9480000000003</v>
      </c>
      <c r="AG51" s="82">
        <f t="shared" ref="AG51" si="101">SUM(O51+AF51)</f>
        <v>55285.428</v>
      </c>
    </row>
    <row r="52" spans="1:33" ht="18.75" x14ac:dyDescent="0.25">
      <c r="A52" s="131">
        <v>28</v>
      </c>
      <c r="B52" s="156" t="s">
        <v>282</v>
      </c>
      <c r="C52" s="83" t="s">
        <v>202</v>
      </c>
      <c r="D52" s="83" t="s">
        <v>116</v>
      </c>
      <c r="E52" s="116">
        <v>3</v>
      </c>
      <c r="F52" s="57"/>
      <c r="G52" s="122"/>
      <c r="H52" s="124">
        <v>2.84</v>
      </c>
      <c r="I52" s="57">
        <v>1.5</v>
      </c>
      <c r="J52" s="117">
        <f t="shared" ref="J52:J55" si="102">$H$15*H52*I52</f>
        <v>75389.22</v>
      </c>
      <c r="K52" s="79">
        <v>100</v>
      </c>
      <c r="L52" s="79">
        <f t="shared" ref="L52:L55" si="103">(J52*K52)/100</f>
        <v>75389.22</v>
      </c>
      <c r="M52" s="56"/>
      <c r="N52" s="117"/>
      <c r="O52" s="118">
        <f t="shared" ref="O52:O55" si="104">J52+L52+N52</f>
        <v>150778.44</v>
      </c>
      <c r="P52" s="118"/>
      <c r="Q52" s="117"/>
      <c r="R52" s="57"/>
      <c r="S52" s="57"/>
      <c r="T52" s="57"/>
      <c r="U52" s="57"/>
      <c r="V52" s="117">
        <v>1</v>
      </c>
      <c r="W52" s="83">
        <f t="shared" ref="W52:W55" si="105">$H$15*0.3*V52</f>
        <v>5309.0999999999995</v>
      </c>
      <c r="X52" s="57"/>
      <c r="Y52" s="88"/>
      <c r="Z52" s="57">
        <v>2</v>
      </c>
      <c r="AA52" s="56">
        <f t="shared" ref="AA52:AA53" si="106">SUM($H$15*H52/168*24)/6*Z52</f>
        <v>2393.3085714285712</v>
      </c>
      <c r="AB52" s="57">
        <v>7</v>
      </c>
      <c r="AC52" s="83">
        <f t="shared" ref="AC52:AC53" si="107">SUM($H$15*H52*I52*0.5/168*8)*AB52</f>
        <v>12564.869999999999</v>
      </c>
      <c r="AD52" s="57">
        <v>1</v>
      </c>
      <c r="AE52" s="117">
        <f t="shared" ref="AE52:AE55" si="108">SUM((J52/I52*AD52)*0.1)</f>
        <v>5025.9480000000003</v>
      </c>
      <c r="AF52" s="82">
        <f t="shared" si="81"/>
        <v>25293.226571428571</v>
      </c>
      <c r="AG52" s="82">
        <f t="shared" ref="AG52:AG53" si="109">SUM(O52+AF52)</f>
        <v>176071.66657142856</v>
      </c>
    </row>
    <row r="53" spans="1:33" ht="18.75" x14ac:dyDescent="0.25">
      <c r="A53" s="131">
        <v>29</v>
      </c>
      <c r="B53" s="156" t="s">
        <v>283</v>
      </c>
      <c r="C53" s="83" t="s">
        <v>202</v>
      </c>
      <c r="D53" s="83" t="s">
        <v>116</v>
      </c>
      <c r="E53" s="116">
        <v>3</v>
      </c>
      <c r="F53" s="57"/>
      <c r="G53" s="122"/>
      <c r="H53" s="124">
        <v>2.84</v>
      </c>
      <c r="I53" s="57">
        <v>1.5</v>
      </c>
      <c r="J53" s="117">
        <f t="shared" si="102"/>
        <v>75389.22</v>
      </c>
      <c r="K53" s="79">
        <v>100</v>
      </c>
      <c r="L53" s="79">
        <f t="shared" si="103"/>
        <v>75389.22</v>
      </c>
      <c r="M53" s="56"/>
      <c r="N53" s="117"/>
      <c r="O53" s="118">
        <f t="shared" si="104"/>
        <v>150778.44</v>
      </c>
      <c r="P53" s="118"/>
      <c r="Q53" s="117"/>
      <c r="R53" s="57"/>
      <c r="S53" s="57"/>
      <c r="T53" s="57"/>
      <c r="U53" s="57"/>
      <c r="V53" s="117">
        <v>1</v>
      </c>
      <c r="W53" s="83">
        <f t="shared" si="105"/>
        <v>5309.0999999999995</v>
      </c>
      <c r="X53" s="57"/>
      <c r="Y53" s="88"/>
      <c r="Z53" s="57">
        <v>1</v>
      </c>
      <c r="AA53" s="56">
        <f t="shared" si="106"/>
        <v>1196.6542857142856</v>
      </c>
      <c r="AB53" s="57">
        <v>9</v>
      </c>
      <c r="AC53" s="83">
        <f t="shared" si="107"/>
        <v>16154.832857142857</v>
      </c>
      <c r="AD53" s="57">
        <v>1</v>
      </c>
      <c r="AE53" s="117">
        <f t="shared" si="108"/>
        <v>5025.9480000000003</v>
      </c>
      <c r="AF53" s="82">
        <f t="shared" si="81"/>
        <v>27686.535142857141</v>
      </c>
      <c r="AG53" s="82">
        <f t="shared" si="109"/>
        <v>178464.97514285715</v>
      </c>
    </row>
    <row r="54" spans="1:33" ht="18.75" x14ac:dyDescent="0.25">
      <c r="A54" s="131">
        <v>30</v>
      </c>
      <c r="B54" s="156" t="s">
        <v>284</v>
      </c>
      <c r="C54" s="83" t="s">
        <v>248</v>
      </c>
      <c r="D54" s="83" t="s">
        <v>116</v>
      </c>
      <c r="E54" s="116">
        <v>3</v>
      </c>
      <c r="F54" s="57"/>
      <c r="G54" s="122"/>
      <c r="H54" s="124">
        <v>2.81</v>
      </c>
      <c r="I54" s="57">
        <v>1</v>
      </c>
      <c r="J54" s="117">
        <f t="shared" ref="J54" si="110">$H$15*H54*I54</f>
        <v>49728.57</v>
      </c>
      <c r="K54" s="79">
        <v>100</v>
      </c>
      <c r="L54" s="79">
        <f t="shared" ref="L54" si="111">(J54*K54)/100</f>
        <v>49728.57</v>
      </c>
      <c r="M54" s="56"/>
      <c r="N54" s="117"/>
      <c r="O54" s="118">
        <f t="shared" ref="O54" si="112">J54+L54+N54</f>
        <v>99457.14</v>
      </c>
      <c r="P54" s="118"/>
      <c r="Q54" s="117"/>
      <c r="R54" s="57"/>
      <c r="S54" s="57"/>
      <c r="T54" s="57"/>
      <c r="U54" s="57"/>
      <c r="V54" s="117"/>
      <c r="W54" s="83">
        <f t="shared" ref="W54" si="113">$H$15*0.3*V54</f>
        <v>0</v>
      </c>
      <c r="X54" s="57"/>
      <c r="Y54" s="88"/>
      <c r="Z54" s="57"/>
      <c r="AA54" s="56">
        <f t="shared" ref="AA54" si="114">SUM($H$15*H54/168*24)/6*Z54</f>
        <v>0</v>
      </c>
      <c r="AB54" s="57"/>
      <c r="AC54" s="83">
        <f t="shared" ref="AC54" si="115">SUM($H$15*H54*I54*0.5/168*8)*AB54</f>
        <v>0</v>
      </c>
      <c r="AD54" s="57">
        <v>1</v>
      </c>
      <c r="AE54" s="117">
        <f t="shared" ref="AE54" si="116">SUM((J54/I54*AD54)*0.1)</f>
        <v>4972.857</v>
      </c>
      <c r="AF54" s="82">
        <f t="shared" si="81"/>
        <v>4972.857</v>
      </c>
      <c r="AG54" s="82">
        <f t="shared" ref="AG54" si="117">SUM(O54+AF54)</f>
        <v>104429.997</v>
      </c>
    </row>
    <row r="55" spans="1:33" ht="24" customHeight="1" x14ac:dyDescent="0.25">
      <c r="A55" s="131">
        <v>31</v>
      </c>
      <c r="B55" s="156" t="s">
        <v>285</v>
      </c>
      <c r="C55" s="83" t="s">
        <v>206</v>
      </c>
      <c r="D55" s="83" t="s">
        <v>116</v>
      </c>
      <c r="E55" s="116">
        <v>1</v>
      </c>
      <c r="F55" s="57"/>
      <c r="G55" s="122"/>
      <c r="H55" s="124">
        <v>2.81</v>
      </c>
      <c r="I55" s="57">
        <v>1</v>
      </c>
      <c r="J55" s="117">
        <f t="shared" si="102"/>
        <v>49728.57</v>
      </c>
      <c r="K55" s="79">
        <v>100</v>
      </c>
      <c r="L55" s="79">
        <f t="shared" si="103"/>
        <v>49728.57</v>
      </c>
      <c r="M55" s="56"/>
      <c r="N55" s="117"/>
      <c r="O55" s="118">
        <f t="shared" si="104"/>
        <v>99457.14</v>
      </c>
      <c r="P55" s="118"/>
      <c r="Q55" s="117"/>
      <c r="R55" s="57"/>
      <c r="S55" s="57"/>
      <c r="T55" s="57"/>
      <c r="U55" s="57"/>
      <c r="V55" s="117">
        <v>1</v>
      </c>
      <c r="W55" s="83">
        <f t="shared" si="105"/>
        <v>5309.0999999999995</v>
      </c>
      <c r="X55" s="57"/>
      <c r="Y55" s="88"/>
      <c r="Z55" s="57"/>
      <c r="AA55" s="56"/>
      <c r="AB55" s="57"/>
      <c r="AC55" s="83"/>
      <c r="AD55" s="57">
        <v>1</v>
      </c>
      <c r="AE55" s="117">
        <f t="shared" si="108"/>
        <v>4972.857</v>
      </c>
      <c r="AF55" s="82">
        <f t="shared" si="81"/>
        <v>10281.956999999999</v>
      </c>
      <c r="AG55" s="82">
        <f t="shared" ref="AG55" si="118">SUM(O55+AF55)</f>
        <v>109739.09699999999</v>
      </c>
    </row>
    <row r="56" spans="1:33" x14ac:dyDescent="0.25">
      <c r="A56" s="80"/>
      <c r="B56" s="81" t="s">
        <v>115</v>
      </c>
      <c r="C56" s="80"/>
      <c r="D56" s="80"/>
      <c r="E56" s="80"/>
      <c r="F56" s="80"/>
      <c r="G56" s="80"/>
      <c r="H56" s="80"/>
      <c r="I56" s="256">
        <f t="shared" ref="I56:AG56" si="119">SUM(I20:I55)</f>
        <v>37.5</v>
      </c>
      <c r="J56" s="257">
        <f t="shared" si="119"/>
        <v>2284859.67</v>
      </c>
      <c r="K56" s="257">
        <f t="shared" si="119"/>
        <v>3602</v>
      </c>
      <c r="L56" s="257">
        <f t="shared" si="119"/>
        <v>2285861.3202</v>
      </c>
      <c r="M56" s="257">
        <f t="shared" si="119"/>
        <v>302</v>
      </c>
      <c r="N56" s="257">
        <f t="shared" si="119"/>
        <v>389141.98755000002</v>
      </c>
      <c r="O56" s="257">
        <f t="shared" si="119"/>
        <v>4959862.9777500005</v>
      </c>
      <c r="P56" s="257">
        <f t="shared" si="119"/>
        <v>60</v>
      </c>
      <c r="Q56" s="256">
        <f t="shared" si="119"/>
        <v>143478.42750000002</v>
      </c>
      <c r="R56" s="257">
        <f t="shared" si="119"/>
        <v>1</v>
      </c>
      <c r="S56" s="256">
        <f t="shared" si="119"/>
        <v>3539.4</v>
      </c>
      <c r="T56" s="257">
        <f t="shared" si="119"/>
        <v>100</v>
      </c>
      <c r="U56" s="256">
        <f t="shared" si="119"/>
        <v>104766.24</v>
      </c>
      <c r="V56" s="257">
        <f t="shared" si="119"/>
        <v>12</v>
      </c>
      <c r="W56" s="256">
        <f t="shared" si="119"/>
        <v>63709.19999999999</v>
      </c>
      <c r="X56" s="257">
        <f t="shared" si="119"/>
        <v>70</v>
      </c>
      <c r="Y56" s="256">
        <f t="shared" si="119"/>
        <v>12387.9</v>
      </c>
      <c r="Z56" s="257">
        <f t="shared" si="119"/>
        <v>7</v>
      </c>
      <c r="AA56" s="256">
        <f t="shared" si="119"/>
        <v>8376.5799999999981</v>
      </c>
      <c r="AB56" s="257">
        <f t="shared" si="119"/>
        <v>30</v>
      </c>
      <c r="AC56" s="256">
        <f t="shared" si="119"/>
        <v>53849.442857142858</v>
      </c>
      <c r="AD56" s="257">
        <f t="shared" si="119"/>
        <v>31</v>
      </c>
      <c r="AE56" s="256">
        <f t="shared" si="119"/>
        <v>320719.63402499986</v>
      </c>
      <c r="AF56" s="256">
        <f t="shared" si="119"/>
        <v>710826.82438214286</v>
      </c>
      <c r="AG56" s="256">
        <f t="shared" si="119"/>
        <v>5670689.8021321436</v>
      </c>
    </row>
    <row r="57" spans="1:33" x14ac:dyDescent="0.25">
      <c r="A57" s="77"/>
      <c r="B57" s="77"/>
      <c r="C57" s="77"/>
      <c r="D57" s="77"/>
      <c r="E57" s="77"/>
      <c r="F57" s="77"/>
      <c r="G57" s="77"/>
      <c r="H57" s="78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</row>
    <row r="58" spans="1:33" ht="23.25" customHeight="1" x14ac:dyDescent="0.25">
      <c r="A58" s="73"/>
      <c r="B58" s="73"/>
      <c r="C58" s="74" t="s">
        <v>212</v>
      </c>
      <c r="D58" s="74"/>
      <c r="E58" s="74"/>
      <c r="F58" s="74" t="s">
        <v>219</v>
      </c>
      <c r="G58" s="74"/>
      <c r="H58" s="75"/>
      <c r="I58" s="74"/>
      <c r="J58" s="74"/>
      <c r="K58" s="74" t="s">
        <v>252</v>
      </c>
      <c r="L58" s="74"/>
      <c r="M58" s="74" t="s">
        <v>253</v>
      </c>
      <c r="N58" s="74"/>
      <c r="O58" s="74"/>
      <c r="P58" s="74" t="s">
        <v>254</v>
      </c>
      <c r="Q58" s="74"/>
      <c r="R58" s="74" t="s">
        <v>255</v>
      </c>
      <c r="T58" s="74"/>
      <c r="U58" s="74"/>
      <c r="V58" s="73"/>
      <c r="W58" s="74" t="s">
        <v>251</v>
      </c>
      <c r="X58" s="74"/>
      <c r="Z58" s="74"/>
      <c r="AA58" s="136" t="s">
        <v>216</v>
      </c>
      <c r="AB58" s="73"/>
      <c r="AC58" s="73"/>
      <c r="AD58" s="73"/>
      <c r="AE58" s="73"/>
      <c r="AF58" s="73"/>
      <c r="AG58" s="76"/>
    </row>
    <row r="59" spans="1:33" ht="26.25" customHeight="1" x14ac:dyDescent="0.25">
      <c r="A59" s="73"/>
      <c r="B59" s="73"/>
      <c r="C59" s="74" t="s">
        <v>250</v>
      </c>
      <c r="D59" s="74"/>
      <c r="E59" s="74"/>
      <c r="F59" s="136" t="s">
        <v>214</v>
      </c>
      <c r="G59" s="136"/>
      <c r="H59" s="75"/>
      <c r="I59" s="74"/>
      <c r="J59" s="74"/>
      <c r="K59" s="74" t="s">
        <v>215</v>
      </c>
      <c r="L59" s="74"/>
      <c r="M59" s="74" t="s">
        <v>217</v>
      </c>
      <c r="N59" s="74"/>
      <c r="O59" s="74"/>
      <c r="P59" s="74" t="s">
        <v>256</v>
      </c>
      <c r="Q59" s="74"/>
      <c r="R59" s="74" t="s">
        <v>257</v>
      </c>
      <c r="S59" s="73"/>
      <c r="T59" s="74"/>
      <c r="U59" s="74"/>
      <c r="V59" s="73"/>
      <c r="W59" s="74"/>
      <c r="X59" s="74"/>
      <c r="Y59" s="74"/>
      <c r="Z59" s="74"/>
      <c r="AA59" s="74"/>
      <c r="AB59" s="73"/>
      <c r="AC59" s="73"/>
      <c r="AD59" s="73"/>
      <c r="AE59" s="73"/>
      <c r="AF59" s="73"/>
      <c r="AG59" s="73"/>
    </row>
    <row r="60" spans="1:33" ht="25.5" customHeight="1" x14ac:dyDescent="0.25">
      <c r="A60" s="73"/>
      <c r="B60" s="73"/>
      <c r="D60" s="74"/>
      <c r="E60" s="74"/>
      <c r="G60" s="74"/>
      <c r="H60" s="75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3"/>
      <c r="T60" s="74"/>
      <c r="U60" s="74"/>
      <c r="V60" s="73"/>
      <c r="W60" s="74"/>
      <c r="X60" s="74"/>
      <c r="Y60" s="74"/>
      <c r="Z60" s="74"/>
      <c r="AA60" s="74"/>
      <c r="AB60" s="73"/>
      <c r="AC60" s="73"/>
      <c r="AD60" s="73"/>
      <c r="AE60" s="73"/>
      <c r="AF60" s="73"/>
      <c r="AG60" s="73"/>
    </row>
    <row r="61" spans="1:33" ht="27" customHeight="1" x14ac:dyDescent="0.25">
      <c r="A61" s="73"/>
      <c r="B61" s="73"/>
      <c r="D61" s="74"/>
      <c r="E61" s="74"/>
      <c r="G61" s="136"/>
      <c r="H61" s="75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3"/>
      <c r="T61" s="345"/>
      <c r="U61" s="345"/>
      <c r="V61" s="73"/>
      <c r="W61" s="74"/>
      <c r="X61" s="74"/>
      <c r="Y61" s="74"/>
      <c r="Z61" s="74"/>
      <c r="AA61" s="74"/>
      <c r="AB61" s="73"/>
      <c r="AC61" s="73"/>
      <c r="AD61" s="73"/>
      <c r="AE61" s="73"/>
      <c r="AF61" s="73"/>
      <c r="AG61" s="73"/>
    </row>
    <row r="62" spans="1:33" x14ac:dyDescent="0.25">
      <c r="A62" s="71"/>
      <c r="B62" s="71"/>
      <c r="C62" s="71"/>
      <c r="D62" s="71"/>
      <c r="E62" s="71"/>
      <c r="F62" s="71"/>
      <c r="G62" s="71"/>
      <c r="H62" s="72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</row>
    <row r="63" spans="1:33" x14ac:dyDescent="0.25">
      <c r="A63" s="71"/>
      <c r="B63" s="71"/>
      <c r="C63" s="71"/>
      <c r="D63" s="71"/>
      <c r="E63" s="71"/>
      <c r="F63" s="71"/>
      <c r="G63" s="71"/>
      <c r="H63" s="72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  <row r="64" spans="1:33" x14ac:dyDescent="0.25">
      <c r="A64" s="71"/>
      <c r="B64" s="71"/>
      <c r="C64" s="71"/>
      <c r="D64" s="71"/>
      <c r="E64" s="71"/>
      <c r="F64" s="71"/>
      <c r="G64" s="71"/>
      <c r="H64" s="72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</row>
    <row r="65" spans="1:33" x14ac:dyDescent="0.25">
      <c r="A65" s="71"/>
      <c r="B65" s="71"/>
      <c r="C65" s="71"/>
      <c r="D65" s="71"/>
      <c r="E65" s="71"/>
      <c r="F65" s="71"/>
      <c r="G65" s="71"/>
      <c r="H65" s="72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</row>
    <row r="66" spans="1:33" x14ac:dyDescent="0.25">
      <c r="A66" s="71"/>
      <c r="B66" s="71"/>
      <c r="C66" s="71"/>
      <c r="D66" s="71"/>
      <c r="E66" s="71"/>
      <c r="F66" s="71"/>
      <c r="G66" s="71"/>
      <c r="H66" s="72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</row>
    <row r="67" spans="1:33" x14ac:dyDescent="0.25">
      <c r="A67" s="71"/>
      <c r="B67" s="71"/>
      <c r="C67" s="71"/>
      <c r="D67" s="71"/>
      <c r="E67" s="71"/>
      <c r="F67" s="71"/>
      <c r="G67" s="71"/>
      <c r="H67" s="72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</row>
  </sheetData>
  <mergeCells count="37">
    <mergeCell ref="B48:B49"/>
    <mergeCell ref="A48:A49"/>
    <mergeCell ref="T61:U61"/>
    <mergeCell ref="AG16:AG18"/>
    <mergeCell ref="AB17:AC17"/>
    <mergeCell ref="AD17:AE17"/>
    <mergeCell ref="AF17:AF18"/>
    <mergeCell ref="G16:G18"/>
    <mergeCell ref="U16:AE16"/>
    <mergeCell ref="M16:N17"/>
    <mergeCell ref="O16:O18"/>
    <mergeCell ref="X17:Y17"/>
    <mergeCell ref="H16:H18"/>
    <mergeCell ref="I16:I18"/>
    <mergeCell ref="J16:J18"/>
    <mergeCell ref="K17:L18"/>
    <mergeCell ref="P17:Q17"/>
    <mergeCell ref="R17:S17"/>
    <mergeCell ref="T17:U17"/>
    <mergeCell ref="V17:W17"/>
    <mergeCell ref="Z17:AA17"/>
    <mergeCell ref="J15:N15"/>
    <mergeCell ref="E3:M3"/>
    <mergeCell ref="Q12:S12"/>
    <mergeCell ref="B1:C8"/>
    <mergeCell ref="O3:X3"/>
    <mergeCell ref="C16:C18"/>
    <mergeCell ref="D16:D18"/>
    <mergeCell ref="E16:F16"/>
    <mergeCell ref="E17:E18"/>
    <mergeCell ref="F17:F18"/>
    <mergeCell ref="A44:A45"/>
    <mergeCell ref="B44:B45"/>
    <mergeCell ref="A16:A18"/>
    <mergeCell ref="B16:B18"/>
    <mergeCell ref="B31:B32"/>
    <mergeCell ref="A31:A32"/>
  </mergeCells>
  <phoneticPr fontId="20" type="noConversion"/>
  <pageMargins left="0.25" right="0.25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Тариф 01.01.2025г.</vt:lpstr>
      <vt:lpstr>Айти</vt:lpstr>
      <vt:lpstr>Штат</vt:lpstr>
      <vt:lpstr>Айти!Область_печати</vt:lpstr>
      <vt:lpstr>'Тариф 01.01.2025г.'!Область_печати</vt:lpstr>
      <vt:lpstr>Штат!Область_печати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student</cp:lastModifiedBy>
  <cp:lastPrinted>2024-11-20T12:36:21Z</cp:lastPrinted>
  <dcterms:created xsi:type="dcterms:W3CDTF">2014-03-18T18:18:42Z</dcterms:created>
  <dcterms:modified xsi:type="dcterms:W3CDTF">2025-01-31T11:55:13Z</dcterms:modified>
</cp:coreProperties>
</file>