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180" windowWidth="20730" windowHeight="11535" tabRatio="867"/>
  </bookViews>
  <sheets>
    <sheet name="показатели  " sheetId="32" r:id="rId1"/>
    <sheet name="нагрузка" sheetId="39" r:id="rId2"/>
    <sheet name="пров_тетр" sheetId="36" r:id="rId3"/>
    <sheet name="фак_кружки" sheetId="35" r:id="rId4"/>
    <sheet name="деление групп" sheetId="34" r:id="rId5"/>
    <sheet name="учителя " sheetId="22" r:id="rId6"/>
    <sheet name="Адмхоз " sheetId="23" r:id="rId7"/>
    <sheet name="учителя 30 %" sheetId="18" r:id="rId8"/>
    <sheet name="учителя без серт 30 %" sheetId="29" r:id="rId9"/>
    <sheet name="учителя  на препод наин яз" sheetId="19" r:id="rId10"/>
    <sheet name="квалификационный тест" sheetId="20" r:id="rId11"/>
    <sheet name="it" sheetId="37" r:id="rId12"/>
    <sheet name="Лист1" sheetId="38" r:id="rId13"/>
  </sheets>
  <definedNames>
    <definedName name="Excel_BuiltIn_Print_Area_7" localSheetId="4">#REF!</definedName>
    <definedName name="Excel_BuiltIn_Print_Area_7" localSheetId="1">#REF!</definedName>
    <definedName name="Excel_BuiltIn_Print_Area_7" localSheetId="0">#REF!</definedName>
    <definedName name="Excel_BuiltIn_Print_Area_7" localSheetId="2">#REF!</definedName>
    <definedName name="Excel_BuiltIn_Print_Area_7" localSheetId="3">фак_кружки!$A$1:$G$43</definedName>
    <definedName name="Excel_BuiltIn_Print_Area_7">#REF!</definedName>
    <definedName name="БДО" localSheetId="11">#REF!</definedName>
    <definedName name="БДО" localSheetId="10">#REF!</definedName>
    <definedName name="БДО" localSheetId="0">#REF!</definedName>
    <definedName name="БДО" localSheetId="2">"$#ССЫЛ!.$#ССЫЛ!$#ССЫЛ!"</definedName>
    <definedName name="БДО" localSheetId="9">#REF!</definedName>
    <definedName name="БДО" localSheetId="7">#REF!</definedName>
    <definedName name="БДО" localSheetId="8">#REF!</definedName>
    <definedName name="БДО" localSheetId="3">"$#ССЫЛ!.$#ССЫЛ!$#ССЫЛ!"</definedName>
    <definedName name="БДО">#REF!</definedName>
    <definedName name="_xlnm.Print_Area" localSheetId="11">it!$A$1:$BL$20</definedName>
    <definedName name="_xlnm.Print_Area" localSheetId="6">'Адмхоз '!$A$1:$AF$38</definedName>
    <definedName name="_xlnm.Print_Area" localSheetId="4">'деление групп'!$A$1:$H$21</definedName>
    <definedName name="_xlnm.Print_Area" localSheetId="10">'квалификационный тест'!$A$1:$AK$28</definedName>
    <definedName name="_xlnm.Print_Area" localSheetId="1">нагрузка!$A$1:$BG$55</definedName>
    <definedName name="_xlnm.Print_Area" localSheetId="2">пров_тетр!$A$1:$W$32</definedName>
    <definedName name="_xlnm.Print_Area" localSheetId="5">'учителя '!$A$1:$BK$59</definedName>
    <definedName name="_xlnm.Print_Area" localSheetId="9">'учителя  на препод наин яз'!$A$1:$BI$19</definedName>
    <definedName name="_xlnm.Print_Area" localSheetId="7">'учителя 30 %'!$A$1:$BI$43</definedName>
    <definedName name="_xlnm.Print_Area" localSheetId="8">'учителя без серт 30 %'!$A$1:$BI$30</definedName>
    <definedName name="_xlnm.Print_Area" localSheetId="3">фак_кружки!$A$1:$H$47</definedName>
  </definedNames>
  <calcPr calcId="124519"/>
</workbook>
</file>

<file path=xl/calcChain.xml><?xml version="1.0" encoding="utf-8"?>
<calcChain xmlns="http://schemas.openxmlformats.org/spreadsheetml/2006/main">
  <c r="O14" i="20"/>
  <c r="P14"/>
  <c r="Q14"/>
  <c r="R14"/>
  <c r="S14"/>
  <c r="U14" s="1"/>
  <c r="W14" s="1"/>
  <c r="X14" s="1"/>
  <c r="AF14"/>
  <c r="AG14"/>
  <c r="AH14" s="1"/>
  <c r="AI14" s="1"/>
  <c r="O15"/>
  <c r="P15"/>
  <c r="Q15"/>
  <c r="R15"/>
  <c r="S15"/>
  <c r="U15" s="1"/>
  <c r="W15" s="1"/>
  <c r="X15" s="1"/>
  <c r="AF15"/>
  <c r="AG15"/>
  <c r="AH15" s="1"/>
  <c r="AI15" s="1"/>
  <c r="R12"/>
  <c r="S12"/>
  <c r="Q12"/>
  <c r="R13"/>
  <c r="O12"/>
  <c r="O13"/>
  <c r="R11"/>
  <c r="U11"/>
  <c r="U12"/>
  <c r="K29" i="23" l="1"/>
  <c r="N29"/>
  <c r="O29"/>
  <c r="P29"/>
  <c r="Q29"/>
  <c r="R29"/>
  <c r="S29"/>
  <c r="T29"/>
  <c r="U29"/>
  <c r="V29"/>
  <c r="X29"/>
  <c r="Y29"/>
  <c r="AC29"/>
  <c r="AE29"/>
  <c r="AF29"/>
  <c r="I29"/>
  <c r="J28"/>
  <c r="L28" s="1"/>
  <c r="M28" s="1"/>
  <c r="M29" s="1"/>
  <c r="AJ23" i="22"/>
  <c r="AK23"/>
  <c r="W28" i="36"/>
  <c r="J18" i="22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Y18"/>
  <c r="AZ18"/>
  <c r="BA18"/>
  <c r="BB18"/>
  <c r="BC18"/>
  <c r="BD18"/>
  <c r="BE18"/>
  <c r="BJ18"/>
  <c r="BK18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J29" i="23" l="1"/>
  <c r="L29"/>
  <c r="Z28"/>
  <c r="Z29" s="1"/>
  <c r="J13" i="29"/>
  <c r="K13"/>
  <c r="L13"/>
  <c r="M13"/>
  <c r="N13"/>
  <c r="V13"/>
  <c r="Y13"/>
  <c r="AA13"/>
  <c r="AC13"/>
  <c r="AE13"/>
  <c r="AG13"/>
  <c r="AI13"/>
  <c r="AM13"/>
  <c r="AO13"/>
  <c r="AQ13"/>
  <c r="AS13"/>
  <c r="AU13"/>
  <c r="AW13"/>
  <c r="AY13"/>
  <c r="BA13"/>
  <c r="BC13"/>
  <c r="J21" l="1"/>
  <c r="K21"/>
  <c r="L21"/>
  <c r="M21"/>
  <c r="N21"/>
  <c r="V21"/>
  <c r="Y21"/>
  <c r="AA21"/>
  <c r="AC21"/>
  <c r="AE21"/>
  <c r="AG21"/>
  <c r="AI21"/>
  <c r="AM21"/>
  <c r="AO21"/>
  <c r="AQ21"/>
  <c r="AS21"/>
  <c r="AU21"/>
  <c r="AW21"/>
  <c r="AY21"/>
  <c r="BA21"/>
  <c r="BC21"/>
  <c r="J10" i="18"/>
  <c r="K10"/>
  <c r="L10"/>
  <c r="M10"/>
  <c r="M35" s="1"/>
  <c r="N10"/>
  <c r="V10"/>
  <c r="Y10"/>
  <c r="Y35" s="1"/>
  <c r="AA10"/>
  <c r="AC10"/>
  <c r="AC35" s="1"/>
  <c r="AE10"/>
  <c r="AG10"/>
  <c r="AG35" s="1"/>
  <c r="AI10"/>
  <c r="AM10"/>
  <c r="AO10"/>
  <c r="AO35" s="1"/>
  <c r="AQ10"/>
  <c r="AS10"/>
  <c r="AS35" s="1"/>
  <c r="AU10"/>
  <c r="AW10"/>
  <c r="AW35" s="1"/>
  <c r="AY10"/>
  <c r="BA10"/>
  <c r="BA35" s="1"/>
  <c r="BC10"/>
  <c r="J17"/>
  <c r="K17"/>
  <c r="L17"/>
  <c r="M17"/>
  <c r="N17"/>
  <c r="V17"/>
  <c r="Y17"/>
  <c r="AA17"/>
  <c r="AC17"/>
  <c r="AE17"/>
  <c r="AG17"/>
  <c r="AI17"/>
  <c r="AM17"/>
  <c r="AO17"/>
  <c r="AQ17"/>
  <c r="AS17"/>
  <c r="AU17"/>
  <c r="AW17"/>
  <c r="AY17"/>
  <c r="BA17"/>
  <c r="BC17"/>
  <c r="J21"/>
  <c r="K21"/>
  <c r="L21"/>
  <c r="M21"/>
  <c r="N21"/>
  <c r="V21"/>
  <c r="Y21"/>
  <c r="AA21"/>
  <c r="AC21"/>
  <c r="AE21"/>
  <c r="AG21"/>
  <c r="AI21"/>
  <c r="AM21"/>
  <c r="AO21"/>
  <c r="AQ21"/>
  <c r="AS21"/>
  <c r="AU21"/>
  <c r="AW21"/>
  <c r="AY21"/>
  <c r="BA21"/>
  <c r="BC21"/>
  <c r="J27"/>
  <c r="K27"/>
  <c r="L27"/>
  <c r="M27"/>
  <c r="N27"/>
  <c r="V27"/>
  <c r="Y27"/>
  <c r="AA27"/>
  <c r="AC27"/>
  <c r="AE27"/>
  <c r="AG27"/>
  <c r="AI27"/>
  <c r="AM27"/>
  <c r="AO27"/>
  <c r="AQ27"/>
  <c r="AS27"/>
  <c r="AU27"/>
  <c r="AW27"/>
  <c r="AY27"/>
  <c r="BA27"/>
  <c r="BC27"/>
  <c r="J29"/>
  <c r="K29"/>
  <c r="L29"/>
  <c r="M29"/>
  <c r="N29"/>
  <c r="V29"/>
  <c r="Y29"/>
  <c r="AA29"/>
  <c r="AC29"/>
  <c r="AE29"/>
  <c r="AG29"/>
  <c r="AI29"/>
  <c r="AM29"/>
  <c r="AO29"/>
  <c r="AQ29"/>
  <c r="AS29"/>
  <c r="AU29"/>
  <c r="AW29"/>
  <c r="AY29"/>
  <c r="BA29"/>
  <c r="BC29"/>
  <c r="J31"/>
  <c r="K31"/>
  <c r="L31"/>
  <c r="M31"/>
  <c r="N31"/>
  <c r="V31"/>
  <c r="Y31"/>
  <c r="AA31"/>
  <c r="AC31"/>
  <c r="AE31"/>
  <c r="AG31"/>
  <c r="AI31"/>
  <c r="AM31"/>
  <c r="AO31"/>
  <c r="AQ31"/>
  <c r="AS31"/>
  <c r="AU31"/>
  <c r="AW31"/>
  <c r="AY31"/>
  <c r="BA31"/>
  <c r="BC31"/>
  <c r="J34"/>
  <c r="K34"/>
  <c r="L34"/>
  <c r="M34"/>
  <c r="N34"/>
  <c r="V34"/>
  <c r="Y34"/>
  <c r="AA34"/>
  <c r="AC34"/>
  <c r="AE34"/>
  <c r="AG34"/>
  <c r="AI34"/>
  <c r="AM34"/>
  <c r="AO34"/>
  <c r="AQ34"/>
  <c r="AS34"/>
  <c r="AU34"/>
  <c r="AW34"/>
  <c r="AY34"/>
  <c r="BA34"/>
  <c r="BC34"/>
  <c r="K13" i="23"/>
  <c r="N13"/>
  <c r="P13"/>
  <c r="R13"/>
  <c r="T13"/>
  <c r="V13"/>
  <c r="X13"/>
  <c r="AE13"/>
  <c r="K17"/>
  <c r="K30" s="1"/>
  <c r="N17"/>
  <c r="P17"/>
  <c r="R17"/>
  <c r="T17"/>
  <c r="V17"/>
  <c r="X17"/>
  <c r="AE17"/>
  <c r="K20"/>
  <c r="N20"/>
  <c r="P20"/>
  <c r="R20"/>
  <c r="T20"/>
  <c r="V20"/>
  <c r="X20"/>
  <c r="AC20"/>
  <c r="AE20"/>
  <c r="K23"/>
  <c r="N23"/>
  <c r="P23"/>
  <c r="R23"/>
  <c r="T23"/>
  <c r="V23"/>
  <c r="X23"/>
  <c r="AC23"/>
  <c r="AE23"/>
  <c r="AE30"/>
  <c r="J24" i="22"/>
  <c r="K24"/>
  <c r="L24"/>
  <c r="M24"/>
  <c r="N24"/>
  <c r="V24"/>
  <c r="Y24"/>
  <c r="AA24"/>
  <c r="AC24"/>
  <c r="AE24"/>
  <c r="AG24"/>
  <c r="AI24"/>
  <c r="AM24"/>
  <c r="AO24"/>
  <c r="AQ24"/>
  <c r="AS24"/>
  <c r="AU24"/>
  <c r="AW24"/>
  <c r="AY24"/>
  <c r="BA24"/>
  <c r="BC24"/>
  <c r="BJ24"/>
  <c r="J42"/>
  <c r="K42"/>
  <c r="L42"/>
  <c r="M42"/>
  <c r="N42"/>
  <c r="V42"/>
  <c r="Y42"/>
  <c r="AA42"/>
  <c r="AC42"/>
  <c r="AE42"/>
  <c r="AG42"/>
  <c r="AI42"/>
  <c r="AM42"/>
  <c r="AO42"/>
  <c r="AQ42"/>
  <c r="AS42"/>
  <c r="AU42"/>
  <c r="AW42"/>
  <c r="AY42"/>
  <c r="BA42"/>
  <c r="BC42"/>
  <c r="BJ42"/>
  <c r="J44"/>
  <c r="K44"/>
  <c r="L44"/>
  <c r="M44"/>
  <c r="N44"/>
  <c r="V44"/>
  <c r="Y44"/>
  <c r="AA44"/>
  <c r="AC44"/>
  <c r="AE44"/>
  <c r="AG44"/>
  <c r="AI44"/>
  <c r="AM44"/>
  <c r="AO44"/>
  <c r="AQ44"/>
  <c r="AS44"/>
  <c r="AU44"/>
  <c r="AW44"/>
  <c r="AY44"/>
  <c r="BA44"/>
  <c r="BC44"/>
  <c r="BI44"/>
  <c r="BK44"/>
  <c r="AI47"/>
  <c r="AM47"/>
  <c r="AM51" s="1"/>
  <c r="AO47"/>
  <c r="AQ47"/>
  <c r="AS47"/>
  <c r="AU47"/>
  <c r="AU51" s="1"/>
  <c r="AW47"/>
  <c r="AY47"/>
  <c r="BA47"/>
  <c r="BC47"/>
  <c r="BC51" s="1"/>
  <c r="BJ47"/>
  <c r="J47"/>
  <c r="K47"/>
  <c r="L47"/>
  <c r="M47"/>
  <c r="N47"/>
  <c r="V47"/>
  <c r="Y47"/>
  <c r="AA47"/>
  <c r="AA51" s="1"/>
  <c r="AC47"/>
  <c r="AE47"/>
  <c r="AE51" s="1"/>
  <c r="AG47"/>
  <c r="J50"/>
  <c r="K50"/>
  <c r="L50"/>
  <c r="M50"/>
  <c r="N50"/>
  <c r="V50"/>
  <c r="Y50"/>
  <c r="AA50"/>
  <c r="AC50"/>
  <c r="AE50"/>
  <c r="AG50"/>
  <c r="AI50"/>
  <c r="AM50"/>
  <c r="AO50"/>
  <c r="AQ50"/>
  <c r="AS50"/>
  <c r="AU50"/>
  <c r="AW50"/>
  <c r="AY50"/>
  <c r="BA50"/>
  <c r="BC50"/>
  <c r="BJ50"/>
  <c r="AI51"/>
  <c r="AQ51"/>
  <c r="AY51"/>
  <c r="J51"/>
  <c r="L51"/>
  <c r="N51"/>
  <c r="V51"/>
  <c r="M51" l="1"/>
  <c r="K51"/>
  <c r="AG51"/>
  <c r="AC51"/>
  <c r="Y51"/>
  <c r="BC35" i="18"/>
  <c r="AY35"/>
  <c r="AU35"/>
  <c r="AQ35"/>
  <c r="AM35"/>
  <c r="AI35"/>
  <c r="AE35"/>
  <c r="AA35"/>
  <c r="V35"/>
  <c r="K35"/>
  <c r="N35"/>
  <c r="L35"/>
  <c r="J35"/>
  <c r="X30" i="23"/>
  <c r="T30"/>
  <c r="P30"/>
  <c r="V30"/>
  <c r="R30"/>
  <c r="N30"/>
  <c r="AW51" i="22"/>
  <c r="AO51"/>
  <c r="BA51"/>
  <c r="AS51"/>
  <c r="BD33" i="18"/>
  <c r="BB33"/>
  <c r="AZ33"/>
  <c r="AX33"/>
  <c r="AV33"/>
  <c r="AT33"/>
  <c r="AR33"/>
  <c r="AP33"/>
  <c r="AN33"/>
  <c r="AK33"/>
  <c r="AJ33"/>
  <c r="AH33"/>
  <c r="AF33"/>
  <c r="AD33"/>
  <c r="AB33"/>
  <c r="Z33"/>
  <c r="T33"/>
  <c r="S33"/>
  <c r="R33"/>
  <c r="Q33"/>
  <c r="P33"/>
  <c r="O33"/>
  <c r="BE33" s="1"/>
  <c r="I33"/>
  <c r="U33" l="1"/>
  <c r="BF33" s="1"/>
  <c r="BG33" s="1"/>
  <c r="BH33" s="1"/>
  <c r="BI33" s="1"/>
  <c r="AL33"/>
  <c r="W33"/>
  <c r="X33" s="1"/>
  <c r="M12" i="32"/>
  <c r="O11" i="29"/>
  <c r="P11"/>
  <c r="Q11"/>
  <c r="R11"/>
  <c r="S11"/>
  <c r="T11"/>
  <c r="Z11"/>
  <c r="AB11"/>
  <c r="AD11"/>
  <c r="AF11"/>
  <c r="AH11"/>
  <c r="AJ11"/>
  <c r="AK11"/>
  <c r="AN11"/>
  <c r="AP11"/>
  <c r="AR11"/>
  <c r="AT11"/>
  <c r="AV11"/>
  <c r="AX11"/>
  <c r="AZ11"/>
  <c r="BB11"/>
  <c r="BD11"/>
  <c r="BE11"/>
  <c r="I11"/>
  <c r="O20"/>
  <c r="BE20" s="1"/>
  <c r="P20"/>
  <c r="Q20"/>
  <c r="R20"/>
  <c r="S20"/>
  <c r="T20"/>
  <c r="Z20"/>
  <c r="AB20"/>
  <c r="AD20"/>
  <c r="AF20"/>
  <c r="AH20"/>
  <c r="AJ20"/>
  <c r="AK20"/>
  <c r="AN20"/>
  <c r="AP20"/>
  <c r="AR20"/>
  <c r="AT20"/>
  <c r="AV20"/>
  <c r="AX20"/>
  <c r="AZ20"/>
  <c r="BB20"/>
  <c r="BD20"/>
  <c r="I20"/>
  <c r="P16" i="18"/>
  <c r="Q16"/>
  <c r="R16"/>
  <c r="S16"/>
  <c r="T16"/>
  <c r="Z16"/>
  <c r="AB16"/>
  <c r="AD16"/>
  <c r="AF16"/>
  <c r="AH16"/>
  <c r="AJ16"/>
  <c r="AK16"/>
  <c r="AN16"/>
  <c r="AP16"/>
  <c r="AR16"/>
  <c r="AT16"/>
  <c r="AV16"/>
  <c r="AX16"/>
  <c r="AZ16"/>
  <c r="BB16"/>
  <c r="BD16"/>
  <c r="BJ35"/>
  <c r="BD28"/>
  <c r="BD29" s="1"/>
  <c r="BB28"/>
  <c r="BB29" s="1"/>
  <c r="AZ28"/>
  <c r="AZ29" s="1"/>
  <c r="AX28"/>
  <c r="AX29" s="1"/>
  <c r="AV28"/>
  <c r="AV29" s="1"/>
  <c r="AT28"/>
  <c r="AT29" s="1"/>
  <c r="AR28"/>
  <c r="AR29" s="1"/>
  <c r="AP28"/>
  <c r="AP29" s="1"/>
  <c r="AN28"/>
  <c r="AN29" s="1"/>
  <c r="AK28"/>
  <c r="AK29" s="1"/>
  <c r="AJ28"/>
  <c r="AJ29" s="1"/>
  <c r="AH28"/>
  <c r="AH29" s="1"/>
  <c r="AF28"/>
  <c r="AF29" s="1"/>
  <c r="AD28"/>
  <c r="AD29" s="1"/>
  <c r="AB28"/>
  <c r="AB29" s="1"/>
  <c r="Z28"/>
  <c r="Z29" s="1"/>
  <c r="T28"/>
  <c r="T29" s="1"/>
  <c r="S28"/>
  <c r="S29" s="1"/>
  <c r="R28"/>
  <c r="R29" s="1"/>
  <c r="Q28"/>
  <c r="Q29" s="1"/>
  <c r="P28"/>
  <c r="P29" s="1"/>
  <c r="O28"/>
  <c r="I28"/>
  <c r="I29" s="1"/>
  <c r="BD24"/>
  <c r="BB24"/>
  <c r="AZ24"/>
  <c r="AX24"/>
  <c r="AV24"/>
  <c r="AT24"/>
  <c r="AR24"/>
  <c r="AP24"/>
  <c r="AN24"/>
  <c r="AK24"/>
  <c r="AJ24"/>
  <c r="AH24"/>
  <c r="AF24"/>
  <c r="AD24"/>
  <c r="AB24"/>
  <c r="Z24"/>
  <c r="T24"/>
  <c r="S24"/>
  <c r="R24"/>
  <c r="Q24"/>
  <c r="P24"/>
  <c r="O24"/>
  <c r="BE24" s="1"/>
  <c r="I24"/>
  <c r="I26"/>
  <c r="O26"/>
  <c r="P26"/>
  <c r="Q26"/>
  <c r="R26"/>
  <c r="S26"/>
  <c r="T26"/>
  <c r="Z26"/>
  <c r="AB26"/>
  <c r="AD26"/>
  <c r="AF26"/>
  <c r="AH26"/>
  <c r="AJ26"/>
  <c r="AK26"/>
  <c r="AN26"/>
  <c r="AP26"/>
  <c r="AR26"/>
  <c r="AT26"/>
  <c r="AV26"/>
  <c r="AX26"/>
  <c r="AZ26"/>
  <c r="BB26"/>
  <c r="BD26"/>
  <c r="BE26"/>
  <c r="I18"/>
  <c r="I19"/>
  <c r="I20"/>
  <c r="J17" i="20"/>
  <c r="K17"/>
  <c r="L17"/>
  <c r="M17"/>
  <c r="N17"/>
  <c r="V17"/>
  <c r="Y17"/>
  <c r="AA17"/>
  <c r="AC17"/>
  <c r="AE17"/>
  <c r="AJ17"/>
  <c r="J10"/>
  <c r="K10"/>
  <c r="K20" s="1"/>
  <c r="L10"/>
  <c r="M10"/>
  <c r="N10"/>
  <c r="V10"/>
  <c r="V20" s="1"/>
  <c r="Y10"/>
  <c r="AA10"/>
  <c r="AA20" s="1"/>
  <c r="AC10"/>
  <c r="AE10"/>
  <c r="AE20" s="1"/>
  <c r="AJ10"/>
  <c r="AK11"/>
  <c r="AF11"/>
  <c r="AD11"/>
  <c r="AB11"/>
  <c r="Z11"/>
  <c r="T11"/>
  <c r="S11"/>
  <c r="Q11"/>
  <c r="P11"/>
  <c r="O11"/>
  <c r="I11"/>
  <c r="AK16"/>
  <c r="AF16"/>
  <c r="AD16"/>
  <c r="AB16"/>
  <c r="Z16"/>
  <c r="T16"/>
  <c r="S16"/>
  <c r="R16"/>
  <c r="Q16"/>
  <c r="P16"/>
  <c r="O16"/>
  <c r="I16"/>
  <c r="AK18"/>
  <c r="AF18"/>
  <c r="AD18"/>
  <c r="AB18"/>
  <c r="Z18"/>
  <c r="T18"/>
  <c r="S18"/>
  <c r="R18"/>
  <c r="Q18"/>
  <c r="P18"/>
  <c r="O18"/>
  <c r="I18"/>
  <c r="J19"/>
  <c r="K19"/>
  <c r="L19"/>
  <c r="M19"/>
  <c r="N19"/>
  <c r="V19"/>
  <c r="Y19"/>
  <c r="AA19"/>
  <c r="AC19"/>
  <c r="AE19"/>
  <c r="AJ19"/>
  <c r="P13"/>
  <c r="Q13"/>
  <c r="S13"/>
  <c r="AF13"/>
  <c r="AG13" s="1"/>
  <c r="AH13" s="1"/>
  <c r="AI13" s="1"/>
  <c r="P12"/>
  <c r="AF12"/>
  <c r="AG12" s="1"/>
  <c r="AH12" s="1"/>
  <c r="AI12" s="1"/>
  <c r="Y27" i="23"/>
  <c r="W27"/>
  <c r="U27"/>
  <c r="S27"/>
  <c r="Q27"/>
  <c r="O27"/>
  <c r="J27"/>
  <c r="L27" s="1"/>
  <c r="M20" i="20" l="1"/>
  <c r="BE28" i="18"/>
  <c r="BE29" s="1"/>
  <c r="O29"/>
  <c r="W12" i="20"/>
  <c r="X12" s="1"/>
  <c r="AJ20"/>
  <c r="AC20"/>
  <c r="Y20"/>
  <c r="N20"/>
  <c r="L20"/>
  <c r="J20"/>
  <c r="AF17"/>
  <c r="U13"/>
  <c r="W13" s="1"/>
  <c r="X13" s="1"/>
  <c r="Q17"/>
  <c r="AG11"/>
  <c r="AH11" s="1"/>
  <c r="AI11" s="1"/>
  <c r="AK17"/>
  <c r="AL28" i="18"/>
  <c r="AL29" s="1"/>
  <c r="T17" i="20"/>
  <c r="I17"/>
  <c r="R17"/>
  <c r="AB17"/>
  <c r="P17"/>
  <c r="O17"/>
  <c r="S17"/>
  <c r="AD17"/>
  <c r="AL11" i="29"/>
  <c r="U11"/>
  <c r="Z17" i="20"/>
  <c r="U16" i="18"/>
  <c r="AL20" i="29"/>
  <c r="M27" i="23"/>
  <c r="Z27"/>
  <c r="AA27" s="1"/>
  <c r="AB27" s="1"/>
  <c r="AD27" s="1"/>
  <c r="AL24" i="18"/>
  <c r="AL16"/>
  <c r="BF11" i="29"/>
  <c r="U20"/>
  <c r="W20" s="1"/>
  <c r="W16" i="18"/>
  <c r="X16" s="1"/>
  <c r="U28"/>
  <c r="AL26"/>
  <c r="U24"/>
  <c r="W24" s="1"/>
  <c r="U26"/>
  <c r="W26" s="1"/>
  <c r="X26" s="1"/>
  <c r="U16" i="20"/>
  <c r="AG16"/>
  <c r="AH16" s="1"/>
  <c r="AI16" s="1"/>
  <c r="AI17" s="1"/>
  <c r="W16"/>
  <c r="U18"/>
  <c r="W18" s="1"/>
  <c r="X18" s="1"/>
  <c r="AG18"/>
  <c r="AH18" s="1"/>
  <c r="AI18" s="1"/>
  <c r="BF26" i="18" l="1"/>
  <c r="BG26" s="1"/>
  <c r="BH26" s="1"/>
  <c r="BI26" s="1"/>
  <c r="BF28"/>
  <c r="U29"/>
  <c r="BG11" i="29"/>
  <c r="W11"/>
  <c r="BF24" i="18"/>
  <c r="BG24" s="1"/>
  <c r="AH17" i="20"/>
  <c r="W11"/>
  <c r="U17"/>
  <c r="X20" i="29"/>
  <c r="AG17" i="20"/>
  <c r="BF20" i="29"/>
  <c r="BG20" s="1"/>
  <c r="BH20" s="1"/>
  <c r="BI20" s="1"/>
  <c r="W28" i="18"/>
  <c r="X24"/>
  <c r="X16" i="20"/>
  <c r="X28" i="18" l="1"/>
  <c r="X29" s="1"/>
  <c r="W29"/>
  <c r="BG28"/>
  <c r="BF29"/>
  <c r="X11" i="29"/>
  <c r="BH11"/>
  <c r="X11" i="20"/>
  <c r="X17" s="1"/>
  <c r="W17"/>
  <c r="BH24" i="18"/>
  <c r="Q36" i="22"/>
  <c r="Q37"/>
  <c r="O37"/>
  <c r="BJ43"/>
  <c r="BJ44" s="1"/>
  <c r="BJ51" s="1"/>
  <c r="BD43"/>
  <c r="BD44" s="1"/>
  <c r="BB43"/>
  <c r="BB44" s="1"/>
  <c r="AZ43"/>
  <c r="AZ44" s="1"/>
  <c r="AX43"/>
  <c r="AX44" s="1"/>
  <c r="AV43"/>
  <c r="AV44" s="1"/>
  <c r="AT43"/>
  <c r="AT44" s="1"/>
  <c r="AR43"/>
  <c r="AR44" s="1"/>
  <c r="AP43"/>
  <c r="AP44" s="1"/>
  <c r="AN43"/>
  <c r="AN44" s="1"/>
  <c r="AK43"/>
  <c r="AK44" s="1"/>
  <c r="AJ43"/>
  <c r="AJ44" s="1"/>
  <c r="AH43"/>
  <c r="AH44" s="1"/>
  <c r="AF43"/>
  <c r="AF44" s="1"/>
  <c r="AD43"/>
  <c r="AD44" s="1"/>
  <c r="AB43"/>
  <c r="AB44" s="1"/>
  <c r="Z43"/>
  <c r="Z44" s="1"/>
  <c r="T43"/>
  <c r="T44" s="1"/>
  <c r="S43"/>
  <c r="S44" s="1"/>
  <c r="R43"/>
  <c r="R44" s="1"/>
  <c r="Q43"/>
  <c r="Q44" s="1"/>
  <c r="P43"/>
  <c r="P44" s="1"/>
  <c r="O43"/>
  <c r="O44" s="1"/>
  <c r="I43"/>
  <c r="I44" s="1"/>
  <c r="BH28" i="18" l="1"/>
  <c r="BG29"/>
  <c r="BI11" i="29"/>
  <c r="BI24" i="18"/>
  <c r="U43" i="22"/>
  <c r="U44" s="1"/>
  <c r="AL43"/>
  <c r="AL44" s="1"/>
  <c r="BI28" i="18" l="1"/>
  <c r="BH29"/>
  <c r="W43" i="22"/>
  <c r="W44" s="1"/>
  <c r="BE43"/>
  <c r="BE44" s="1"/>
  <c r="X43"/>
  <c r="X44" s="1"/>
  <c r="BF43" l="1"/>
  <c r="BF44" s="1"/>
  <c r="BG43" l="1"/>
  <c r="BG44" s="1"/>
  <c r="BH43" l="1"/>
  <c r="BH44" s="1"/>
  <c r="O46"/>
  <c r="P46"/>
  <c r="Q46"/>
  <c r="R46"/>
  <c r="S46"/>
  <c r="T46"/>
  <c r="Z46"/>
  <c r="AB46"/>
  <c r="AD46"/>
  <c r="AF46"/>
  <c r="AH46"/>
  <c r="AJ46"/>
  <c r="AK46"/>
  <c r="AN46"/>
  <c r="AP46"/>
  <c r="AR46"/>
  <c r="AT46"/>
  <c r="AV46"/>
  <c r="AX46"/>
  <c r="AZ46"/>
  <c r="BB46"/>
  <c r="BD46"/>
  <c r="BK46"/>
  <c r="I46"/>
  <c r="BK41"/>
  <c r="BD41"/>
  <c r="BB41"/>
  <c r="AZ41"/>
  <c r="AX41"/>
  <c r="AV41"/>
  <c r="AT41"/>
  <c r="AR41"/>
  <c r="AP41"/>
  <c r="AN41"/>
  <c r="AK41"/>
  <c r="AJ41"/>
  <c r="AH41"/>
  <c r="AF41"/>
  <c r="AD41"/>
  <c r="AB41"/>
  <c r="Z41"/>
  <c r="T41"/>
  <c r="S41"/>
  <c r="R41"/>
  <c r="Q41"/>
  <c r="P41"/>
  <c r="O41"/>
  <c r="I41"/>
  <c r="BK40"/>
  <c r="BK42" s="1"/>
  <c r="BD40"/>
  <c r="BD42" s="1"/>
  <c r="BB40"/>
  <c r="BB42" s="1"/>
  <c r="AZ40"/>
  <c r="AZ42" s="1"/>
  <c r="AX40"/>
  <c r="AX42" s="1"/>
  <c r="AV40"/>
  <c r="AV42" s="1"/>
  <c r="AT40"/>
  <c r="AT42" s="1"/>
  <c r="AR40"/>
  <c r="AR42" s="1"/>
  <c r="AP40"/>
  <c r="AP42" s="1"/>
  <c r="AN40"/>
  <c r="AN42" s="1"/>
  <c r="AK40"/>
  <c r="AK42" s="1"/>
  <c r="AJ40"/>
  <c r="AJ42" s="1"/>
  <c r="AH40"/>
  <c r="AH42" s="1"/>
  <c r="AF40"/>
  <c r="AF42" s="1"/>
  <c r="AD40"/>
  <c r="AD42" s="1"/>
  <c r="AB40"/>
  <c r="AB42" s="1"/>
  <c r="Z40"/>
  <c r="Z42" s="1"/>
  <c r="T40"/>
  <c r="T42" s="1"/>
  <c r="S40"/>
  <c r="S42" s="1"/>
  <c r="R40"/>
  <c r="R42" s="1"/>
  <c r="Q40"/>
  <c r="Q42" s="1"/>
  <c r="P40"/>
  <c r="P42" s="1"/>
  <c r="O40"/>
  <c r="O42" s="1"/>
  <c r="I40"/>
  <c r="I42" s="1"/>
  <c r="Z37"/>
  <c r="AB37"/>
  <c r="AD37"/>
  <c r="AF37"/>
  <c r="AH37"/>
  <c r="AJ37"/>
  <c r="AK37"/>
  <c r="AN37"/>
  <c r="AP37"/>
  <c r="AR37"/>
  <c r="AT37"/>
  <c r="AV37"/>
  <c r="AX37"/>
  <c r="AZ37"/>
  <c r="BB37"/>
  <c r="BD37"/>
  <c r="BK37"/>
  <c r="S37"/>
  <c r="Z33"/>
  <c r="AB33"/>
  <c r="AD33"/>
  <c r="AF33"/>
  <c r="AH33"/>
  <c r="AJ33"/>
  <c r="AK33"/>
  <c r="AN33"/>
  <c r="AP33"/>
  <c r="AR33"/>
  <c r="AT33"/>
  <c r="AV33"/>
  <c r="AX33"/>
  <c r="AZ33"/>
  <c r="BB33"/>
  <c r="BD33"/>
  <c r="BK33"/>
  <c r="O33"/>
  <c r="S33"/>
  <c r="I33"/>
  <c r="P33"/>
  <c r="Q33"/>
  <c r="R33"/>
  <c r="T33"/>
  <c r="AZ23"/>
  <c r="BB23"/>
  <c r="BD23"/>
  <c r="BK23"/>
  <c r="AN23"/>
  <c r="AP23"/>
  <c r="AH23"/>
  <c r="AF23"/>
  <c r="Z23"/>
  <c r="AB23"/>
  <c r="AD23"/>
  <c r="Q23"/>
  <c r="R23"/>
  <c r="O23"/>
  <c r="S23"/>
  <c r="I23"/>
  <c r="P23"/>
  <c r="T23"/>
  <c r="AT23"/>
  <c r="AV23"/>
  <c r="AX23"/>
  <c r="P37"/>
  <c r="R37"/>
  <c r="T37"/>
  <c r="BK38"/>
  <c r="BD38"/>
  <c r="BB38"/>
  <c r="AZ38"/>
  <c r="AX38"/>
  <c r="AV38"/>
  <c r="AT38"/>
  <c r="AR38"/>
  <c r="AP38"/>
  <c r="AN38"/>
  <c r="AK38"/>
  <c r="AJ38"/>
  <c r="AH38"/>
  <c r="AF38"/>
  <c r="AD38"/>
  <c r="AB38"/>
  <c r="Z38"/>
  <c r="T38"/>
  <c r="S38"/>
  <c r="R38"/>
  <c r="Q38"/>
  <c r="P38"/>
  <c r="O38"/>
  <c r="I38"/>
  <c r="U23" l="1"/>
  <c r="BE23" s="1"/>
  <c r="U46"/>
  <c r="AL37"/>
  <c r="BF37" s="1"/>
  <c r="AL46"/>
  <c r="W46"/>
  <c r="X46" s="1"/>
  <c r="BE46"/>
  <c r="AL23"/>
  <c r="U33"/>
  <c r="W23"/>
  <c r="X23" s="1"/>
  <c r="BE33"/>
  <c r="W33"/>
  <c r="X33" s="1"/>
  <c r="AL40"/>
  <c r="U37"/>
  <c r="W37" s="1"/>
  <c r="X37" s="1"/>
  <c r="AL41"/>
  <c r="AL33"/>
  <c r="BF46"/>
  <c r="U41"/>
  <c r="BE41" s="1"/>
  <c r="U40"/>
  <c r="AL38"/>
  <c r="U38"/>
  <c r="W38" s="1"/>
  <c r="X38" s="1"/>
  <c r="BE40" l="1"/>
  <c r="BE42" s="1"/>
  <c r="U42"/>
  <c r="AL42"/>
  <c r="BF33"/>
  <c r="BG33" s="1"/>
  <c r="BH33" s="1"/>
  <c r="BG37"/>
  <c r="BH37" s="1"/>
  <c r="W41"/>
  <c r="X41" s="1"/>
  <c r="BG46"/>
  <c r="BI46" s="1"/>
  <c r="BF23"/>
  <c r="BG23" s="1"/>
  <c r="BH23" s="1"/>
  <c r="BI33"/>
  <c r="BF41"/>
  <c r="BI37"/>
  <c r="W40"/>
  <c r="W42" s="1"/>
  <c r="BH46"/>
  <c r="BE38"/>
  <c r="BF38" s="1"/>
  <c r="BG38" s="1"/>
  <c r="BF40" l="1"/>
  <c r="BF42" s="1"/>
  <c r="BG41"/>
  <c r="BI41" s="1"/>
  <c r="BI23"/>
  <c r="X40"/>
  <c r="X42" s="1"/>
  <c r="BI38"/>
  <c r="BH38"/>
  <c r="BH41" l="1"/>
  <c r="BG40"/>
  <c r="BG42" s="1"/>
  <c r="BI40" l="1"/>
  <c r="BI42" s="1"/>
  <c r="BH40"/>
  <c r="BH42" s="1"/>
  <c r="F14" i="34" l="1"/>
  <c r="E14"/>
  <c r="F8"/>
  <c r="G8"/>
  <c r="E8"/>
  <c r="G38" i="35"/>
  <c r="G39"/>
  <c r="E28" i="36"/>
  <c r="F28"/>
  <c r="G28"/>
  <c r="H28"/>
  <c r="I28"/>
  <c r="J28"/>
  <c r="K28"/>
  <c r="M28"/>
  <c r="N28"/>
  <c r="O28"/>
  <c r="P28"/>
  <c r="Q28"/>
  <c r="R28"/>
  <c r="S28"/>
  <c r="T28"/>
  <c r="U28"/>
  <c r="D28"/>
  <c r="V27"/>
  <c r="L27"/>
  <c r="L12" i="32"/>
  <c r="M15"/>
  <c r="BC51" i="39"/>
  <c r="BB51"/>
  <c r="BA51"/>
  <c r="AZ51"/>
  <c r="AY51"/>
  <c r="AX51"/>
  <c r="AW51"/>
  <c r="AV51"/>
  <c r="AT51"/>
  <c r="AS51"/>
  <c r="AR51"/>
  <c r="AQ51"/>
  <c r="AP51"/>
  <c r="AO51"/>
  <c r="AN51"/>
  <c r="AM51"/>
  <c r="AJ51"/>
  <c r="AI51"/>
  <c r="AH51"/>
  <c r="AG51"/>
  <c r="AF51"/>
  <c r="AE51"/>
  <c r="AD51"/>
  <c r="AC51"/>
  <c r="AA51"/>
  <c r="Z51"/>
  <c r="Y51"/>
  <c r="V51"/>
  <c r="U51"/>
  <c r="T51"/>
  <c r="S51"/>
  <c r="R51"/>
  <c r="Q51"/>
  <c r="P51"/>
  <c r="O51"/>
  <c r="N51"/>
  <c r="L51"/>
  <c r="K51"/>
  <c r="J51"/>
  <c r="I51"/>
  <c r="H51"/>
  <c r="G51"/>
  <c r="F51"/>
  <c r="E51"/>
  <c r="D51"/>
  <c r="BD50"/>
  <c r="AU50"/>
  <c r="BE50" s="1"/>
  <c r="AK50"/>
  <c r="AB50"/>
  <c r="W50"/>
  <c r="M50"/>
  <c r="BD49"/>
  <c r="AU49"/>
  <c r="BE49" s="1"/>
  <c r="AK49"/>
  <c r="AB49"/>
  <c r="W49"/>
  <c r="M49"/>
  <c r="BD48"/>
  <c r="AU48"/>
  <c r="BE48" s="1"/>
  <c r="AK48"/>
  <c r="AB48"/>
  <c r="W48"/>
  <c r="M48"/>
  <c r="X48" s="1"/>
  <c r="BD47"/>
  <c r="AU47"/>
  <c r="BE47" s="1"/>
  <c r="AK47"/>
  <c r="AB47"/>
  <c r="W47"/>
  <c r="M47"/>
  <c r="X47" s="1"/>
  <c r="BD46"/>
  <c r="AU46"/>
  <c r="AK46"/>
  <c r="AB46"/>
  <c r="AL46" s="1"/>
  <c r="W46"/>
  <c r="M46"/>
  <c r="BD45"/>
  <c r="AU45"/>
  <c r="AK45"/>
  <c r="AB45"/>
  <c r="W45"/>
  <c r="M45"/>
  <c r="BD44"/>
  <c r="AU44"/>
  <c r="AK44"/>
  <c r="AB44"/>
  <c r="W44"/>
  <c r="M44"/>
  <c r="BD43"/>
  <c r="AU43"/>
  <c r="BE43" s="1"/>
  <c r="AK43"/>
  <c r="AB43"/>
  <c r="W43"/>
  <c r="M43"/>
  <c r="X43" s="1"/>
  <c r="BD42"/>
  <c r="AU42"/>
  <c r="BE42" s="1"/>
  <c r="AK42"/>
  <c r="AB42"/>
  <c r="W42"/>
  <c r="M42"/>
  <c r="X42" s="1"/>
  <c r="BD41"/>
  <c r="AU41"/>
  <c r="BE41" s="1"/>
  <c r="AK41"/>
  <c r="AB41"/>
  <c r="W41"/>
  <c r="M41"/>
  <c r="X41" s="1"/>
  <c r="BD40"/>
  <c r="AU40"/>
  <c r="AK40"/>
  <c r="AB40"/>
  <c r="AL40" s="1"/>
  <c r="W40"/>
  <c r="M40"/>
  <c r="BD39"/>
  <c r="AU39"/>
  <c r="AK39"/>
  <c r="AB39"/>
  <c r="AL39" s="1"/>
  <c r="W39"/>
  <c r="M39"/>
  <c r="BD38"/>
  <c r="AU38"/>
  <c r="AK38"/>
  <c r="AB38"/>
  <c r="AL38" s="1"/>
  <c r="W38"/>
  <c r="M38"/>
  <c r="BD37"/>
  <c r="AU37"/>
  <c r="AK37"/>
  <c r="AB37"/>
  <c r="AL37" s="1"/>
  <c r="W37"/>
  <c r="M37"/>
  <c r="BD36"/>
  <c r="AU36"/>
  <c r="AK36"/>
  <c r="AB36"/>
  <c r="AL36" s="1"/>
  <c r="W36"/>
  <c r="M36"/>
  <c r="BD35"/>
  <c r="AU35"/>
  <c r="AK35"/>
  <c r="AB35"/>
  <c r="AL35" s="1"/>
  <c r="W35"/>
  <c r="M35"/>
  <c r="BD34"/>
  <c r="AU34"/>
  <c r="AK34"/>
  <c r="AB34"/>
  <c r="AL34" s="1"/>
  <c r="W34"/>
  <c r="M34"/>
  <c r="BD33"/>
  <c r="AU33"/>
  <c r="AK33"/>
  <c r="AB33"/>
  <c r="AL33" s="1"/>
  <c r="W33"/>
  <c r="M33"/>
  <c r="BD32"/>
  <c r="AU32"/>
  <c r="AK32"/>
  <c r="AB32"/>
  <c r="AL32" s="1"/>
  <c r="W32"/>
  <c r="M32"/>
  <c r="BD31"/>
  <c r="AU31"/>
  <c r="AK31"/>
  <c r="AB31"/>
  <c r="AL31" s="1"/>
  <c r="W31"/>
  <c r="M31"/>
  <c r="BD30"/>
  <c r="AU30"/>
  <c r="AK30"/>
  <c r="AB30"/>
  <c r="AL30" s="1"/>
  <c r="W30"/>
  <c r="M30"/>
  <c r="BD29"/>
  <c r="AU29"/>
  <c r="AK29"/>
  <c r="AB29"/>
  <c r="AL29" s="1"/>
  <c r="W29"/>
  <c r="M29"/>
  <c r="BD28"/>
  <c r="AU28"/>
  <c r="AK28"/>
  <c r="AB28"/>
  <c r="AL28" s="1"/>
  <c r="W28"/>
  <c r="M28"/>
  <c r="BD27"/>
  <c r="AU27"/>
  <c r="AK27"/>
  <c r="AB27"/>
  <c r="AL27" s="1"/>
  <c r="W27"/>
  <c r="M27"/>
  <c r="BD26"/>
  <c r="AU26"/>
  <c r="AK26"/>
  <c r="AB26"/>
  <c r="AL26" s="1"/>
  <c r="M26"/>
  <c r="X26" s="1"/>
  <c r="BD25"/>
  <c r="BE25" s="1"/>
  <c r="AU25"/>
  <c r="AK25"/>
  <c r="AB25"/>
  <c r="W25"/>
  <c r="X25" s="1"/>
  <c r="M25"/>
  <c r="BD24"/>
  <c r="BE24" s="1"/>
  <c r="AU24"/>
  <c r="AK24"/>
  <c r="AL24" s="1"/>
  <c r="AB24"/>
  <c r="W24"/>
  <c r="X24" s="1"/>
  <c r="BF24" s="1"/>
  <c r="M24"/>
  <c r="BD23"/>
  <c r="AU23"/>
  <c r="AK23"/>
  <c r="AL23" s="1"/>
  <c r="AB23"/>
  <c r="W23"/>
  <c r="X23" s="1"/>
  <c r="M23"/>
  <c r="BD22"/>
  <c r="AU22"/>
  <c r="AK22"/>
  <c r="AL22" s="1"/>
  <c r="AB22"/>
  <c r="W22"/>
  <c r="M22"/>
  <c r="BD21"/>
  <c r="AU21"/>
  <c r="AK21"/>
  <c r="AL21" s="1"/>
  <c r="AB21"/>
  <c r="W21"/>
  <c r="M21"/>
  <c r="BD20"/>
  <c r="AU20"/>
  <c r="AK20"/>
  <c r="AL20" s="1"/>
  <c r="AB20"/>
  <c r="W20"/>
  <c r="M20"/>
  <c r="BD19"/>
  <c r="AU19"/>
  <c r="AK19"/>
  <c r="AL19" s="1"/>
  <c r="AB19"/>
  <c r="W19"/>
  <c r="M19"/>
  <c r="BD18"/>
  <c r="AU18"/>
  <c r="AK18"/>
  <c r="AL18" s="1"/>
  <c r="AB18"/>
  <c r="W18"/>
  <c r="M18"/>
  <c r="BD17"/>
  <c r="AU17"/>
  <c r="AK17"/>
  <c r="AL17" s="1"/>
  <c r="AB17"/>
  <c r="W17"/>
  <c r="M17"/>
  <c r="BD16"/>
  <c r="AU16"/>
  <c r="AK16"/>
  <c r="AL16" s="1"/>
  <c r="AB16"/>
  <c r="W16"/>
  <c r="M16"/>
  <c r="BD15"/>
  <c r="AU15"/>
  <c r="AK15"/>
  <c r="AL15" s="1"/>
  <c r="AB15"/>
  <c r="W15"/>
  <c r="M15"/>
  <c r="BD14"/>
  <c r="AU14"/>
  <c r="AK14"/>
  <c r="AL14" s="1"/>
  <c r="AB14"/>
  <c r="W14"/>
  <c r="M14"/>
  <c r="BD13"/>
  <c r="AU13"/>
  <c r="AK13"/>
  <c r="AL13" s="1"/>
  <c r="AB13"/>
  <c r="W13"/>
  <c r="M13"/>
  <c r="BD12"/>
  <c r="AU12"/>
  <c r="AK12"/>
  <c r="AL12" s="1"/>
  <c r="AB12"/>
  <c r="W12"/>
  <c r="M12"/>
  <c r="BD11"/>
  <c r="AU11"/>
  <c r="AK11"/>
  <c r="AL11" s="1"/>
  <c r="AB11"/>
  <c r="W11"/>
  <c r="M11"/>
  <c r="BD10"/>
  <c r="AU10"/>
  <c r="AK10"/>
  <c r="AL10" s="1"/>
  <c r="AB10"/>
  <c r="W10"/>
  <c r="M10"/>
  <c r="BD9"/>
  <c r="AU9"/>
  <c r="AK9"/>
  <c r="AL9" s="1"/>
  <c r="AB9"/>
  <c r="W9"/>
  <c r="M9"/>
  <c r="BD8"/>
  <c r="AU8"/>
  <c r="AK8"/>
  <c r="AB8"/>
  <c r="W8"/>
  <c r="X8" s="1"/>
  <c r="M8"/>
  <c r="BD7"/>
  <c r="BE7" s="1"/>
  <c r="AU7"/>
  <c r="AK7"/>
  <c r="AB7"/>
  <c r="W7"/>
  <c r="X7" s="1"/>
  <c r="M7"/>
  <c r="BD6"/>
  <c r="BE6" s="1"/>
  <c r="AU6"/>
  <c r="AK6"/>
  <c r="AB6"/>
  <c r="W6"/>
  <c r="X6" s="1"/>
  <c r="M6"/>
  <c r="BD5"/>
  <c r="BD51" s="1"/>
  <c r="AU5"/>
  <c r="AK5"/>
  <c r="AK51" s="1"/>
  <c r="AB5"/>
  <c r="W5"/>
  <c r="W51" s="1"/>
  <c r="M5"/>
  <c r="BF4"/>
  <c r="AF17" i="23"/>
  <c r="AF22"/>
  <c r="AF23" s="1"/>
  <c r="AF19"/>
  <c r="AF20" s="1"/>
  <c r="AF11"/>
  <c r="AF12"/>
  <c r="AF10"/>
  <c r="AF13" s="1"/>
  <c r="AF30" s="1"/>
  <c r="BK45" i="22"/>
  <c r="BK47" s="1"/>
  <c r="BK49"/>
  <c r="BK48"/>
  <c r="BK26"/>
  <c r="BK27"/>
  <c r="BK28"/>
  <c r="BK29"/>
  <c r="BK30"/>
  <c r="BK31"/>
  <c r="BK32"/>
  <c r="BK34"/>
  <c r="BK35"/>
  <c r="BK36"/>
  <c r="BK25"/>
  <c r="BK20"/>
  <c r="BK21"/>
  <c r="BK22"/>
  <c r="BK19"/>
  <c r="BK24" s="1"/>
  <c r="BK12"/>
  <c r="BK13"/>
  <c r="BK14"/>
  <c r="BK15"/>
  <c r="BK16"/>
  <c r="BK17"/>
  <c r="BK11"/>
  <c r="BK9"/>
  <c r="BK50" l="1"/>
  <c r="BK51" s="1"/>
  <c r="W27" i="36"/>
  <c r="M51" i="39"/>
  <c r="AB51"/>
  <c r="AU51"/>
  <c r="AL6"/>
  <c r="AL7"/>
  <c r="AL8"/>
  <c r="BE8"/>
  <c r="BF8" s="1"/>
  <c r="X9"/>
  <c r="BE9"/>
  <c r="X10"/>
  <c r="BE10"/>
  <c r="X11"/>
  <c r="BE11"/>
  <c r="X12"/>
  <c r="BE12"/>
  <c r="X13"/>
  <c r="BE13"/>
  <c r="X14"/>
  <c r="BE14"/>
  <c r="X15"/>
  <c r="BE15"/>
  <c r="X16"/>
  <c r="BE16"/>
  <c r="X17"/>
  <c r="BE17"/>
  <c r="X18"/>
  <c r="BE18"/>
  <c r="X19"/>
  <c r="BE19"/>
  <c r="X20"/>
  <c r="BE20"/>
  <c r="X21"/>
  <c r="BE21"/>
  <c r="X22"/>
  <c r="BE22"/>
  <c r="BE23"/>
  <c r="AL25"/>
  <c r="BF25" s="1"/>
  <c r="BE26"/>
  <c r="BF26" s="1"/>
  <c r="X27"/>
  <c r="BE27"/>
  <c r="X28"/>
  <c r="BE28"/>
  <c r="X29"/>
  <c r="BE29"/>
  <c r="X30"/>
  <c r="BE30"/>
  <c r="X31"/>
  <c r="BE31"/>
  <c r="X32"/>
  <c r="BE32"/>
  <c r="X33"/>
  <c r="BE33"/>
  <c r="X34"/>
  <c r="BE34"/>
  <c r="X35"/>
  <c r="BE35"/>
  <c r="X36"/>
  <c r="BE36"/>
  <c r="X37"/>
  <c r="BE37"/>
  <c r="X38"/>
  <c r="BE38"/>
  <c r="X39"/>
  <c r="BE39"/>
  <c r="X40"/>
  <c r="BE40"/>
  <c r="AL41"/>
  <c r="AL42"/>
  <c r="AL43"/>
  <c r="X44"/>
  <c r="AL44"/>
  <c r="BE44"/>
  <c r="X45"/>
  <c r="AL45"/>
  <c r="BE45"/>
  <c r="X46"/>
  <c r="BE46"/>
  <c r="AL47"/>
  <c r="AL48"/>
  <c r="X49"/>
  <c r="AL49"/>
  <c r="X50"/>
  <c r="AL50"/>
  <c r="BF6"/>
  <c r="BF7"/>
  <c r="BF23"/>
  <c r="BF41"/>
  <c r="BF42"/>
  <c r="BF43"/>
  <c r="BF47"/>
  <c r="BF48"/>
  <c r="X5"/>
  <c r="BE5"/>
  <c r="BE51" s="1"/>
  <c r="AL5"/>
  <c r="AF9" i="20"/>
  <c r="AF10" s="1"/>
  <c r="W25" i="23"/>
  <c r="W29" s="1"/>
  <c r="AL51" i="39" l="1"/>
  <c r="BF50"/>
  <c r="BF49"/>
  <c r="BF46"/>
  <c r="BG46" s="1"/>
  <c r="BG51" s="1"/>
  <c r="BF45"/>
  <c r="BF39"/>
  <c r="BF38"/>
  <c r="BF37"/>
  <c r="BF36"/>
  <c r="BF35"/>
  <c r="BF34"/>
  <c r="BF33"/>
  <c r="BF32"/>
  <c r="BF31"/>
  <c r="BF30"/>
  <c r="BF29"/>
  <c r="BF28"/>
  <c r="BF27"/>
  <c r="BF22"/>
  <c r="BF21"/>
  <c r="BF20"/>
  <c r="BF19"/>
  <c r="BF18"/>
  <c r="BF17"/>
  <c r="BF16"/>
  <c r="BF15"/>
  <c r="BF14"/>
  <c r="BF13"/>
  <c r="BF12"/>
  <c r="BF11"/>
  <c r="BF10"/>
  <c r="BF9"/>
  <c r="BF44"/>
  <c r="X51"/>
  <c r="BF5"/>
  <c r="I17" i="29"/>
  <c r="O17"/>
  <c r="P17"/>
  <c r="Q17"/>
  <c r="R17"/>
  <c r="S17"/>
  <c r="T17"/>
  <c r="Z17"/>
  <c r="AB17"/>
  <c r="AD17"/>
  <c r="AF17"/>
  <c r="AH17"/>
  <c r="AJ17"/>
  <c r="AK17"/>
  <c r="AN17"/>
  <c r="AP17"/>
  <c r="AR17"/>
  <c r="AT17"/>
  <c r="AV17"/>
  <c r="AX17"/>
  <c r="AZ17"/>
  <c r="BB17"/>
  <c r="BD17"/>
  <c r="BE17"/>
  <c r="BD18"/>
  <c r="BB18"/>
  <c r="AZ18"/>
  <c r="AX18"/>
  <c r="AV18"/>
  <c r="AT18"/>
  <c r="AR18"/>
  <c r="AP18"/>
  <c r="AN18"/>
  <c r="AK18"/>
  <c r="AJ18"/>
  <c r="AH18"/>
  <c r="AF18"/>
  <c r="AD18"/>
  <c r="AB18"/>
  <c r="Z18"/>
  <c r="T18"/>
  <c r="S18"/>
  <c r="R18"/>
  <c r="Q18"/>
  <c r="P18"/>
  <c r="O18"/>
  <c r="BE18" s="1"/>
  <c r="I18"/>
  <c r="BD12"/>
  <c r="BD13" s="1"/>
  <c r="BB12"/>
  <c r="BB13" s="1"/>
  <c r="AZ12"/>
  <c r="AZ13" s="1"/>
  <c r="AX12"/>
  <c r="AX13" s="1"/>
  <c r="AV12"/>
  <c r="AV13" s="1"/>
  <c r="AT12"/>
  <c r="AT13" s="1"/>
  <c r="AR12"/>
  <c r="AR13" s="1"/>
  <c r="AP12"/>
  <c r="AP13" s="1"/>
  <c r="AN12"/>
  <c r="AN13" s="1"/>
  <c r="AK12"/>
  <c r="AK13" s="1"/>
  <c r="AJ12"/>
  <c r="AJ13" s="1"/>
  <c r="AH12"/>
  <c r="AH13" s="1"/>
  <c r="AF12"/>
  <c r="AF13" s="1"/>
  <c r="AD12"/>
  <c r="AD13" s="1"/>
  <c r="AB12"/>
  <c r="AB13" s="1"/>
  <c r="Z12"/>
  <c r="Z13" s="1"/>
  <c r="T12"/>
  <c r="T13" s="1"/>
  <c r="S12"/>
  <c r="S13" s="1"/>
  <c r="R12"/>
  <c r="R13" s="1"/>
  <c r="Q12"/>
  <c r="Q13" s="1"/>
  <c r="P12"/>
  <c r="P13" s="1"/>
  <c r="O12"/>
  <c r="I12"/>
  <c r="I13" s="1"/>
  <c r="I9" i="20"/>
  <c r="I10" s="1"/>
  <c r="O9"/>
  <c r="O10" s="1"/>
  <c r="P9"/>
  <c r="P10" s="1"/>
  <c r="Q9"/>
  <c r="Q10" s="1"/>
  <c r="R9"/>
  <c r="R10" s="1"/>
  <c r="S9"/>
  <c r="S10" s="1"/>
  <c r="T9"/>
  <c r="T10" s="1"/>
  <c r="Z9"/>
  <c r="Z10" s="1"/>
  <c r="AB9"/>
  <c r="AB10" s="1"/>
  <c r="AD9"/>
  <c r="AD10" s="1"/>
  <c r="AK9"/>
  <c r="AK10" s="1"/>
  <c r="P15" i="29"/>
  <c r="Q15"/>
  <c r="R15"/>
  <c r="S15"/>
  <c r="T15"/>
  <c r="Z15"/>
  <c r="AB15"/>
  <c r="AD15"/>
  <c r="AF15"/>
  <c r="AH15"/>
  <c r="AJ15"/>
  <c r="AK15"/>
  <c r="AN15"/>
  <c r="AP15"/>
  <c r="AR15"/>
  <c r="AT15"/>
  <c r="AV15"/>
  <c r="AX15"/>
  <c r="AZ15"/>
  <c r="BB15"/>
  <c r="BD15"/>
  <c r="P16"/>
  <c r="Q16"/>
  <c r="R16"/>
  <c r="S16"/>
  <c r="T16"/>
  <c r="Z16"/>
  <c r="AB16"/>
  <c r="AD16"/>
  <c r="AF16"/>
  <c r="AH16"/>
  <c r="AJ16"/>
  <c r="AK16"/>
  <c r="AN16"/>
  <c r="AP16"/>
  <c r="AR16"/>
  <c r="AT16"/>
  <c r="AV16"/>
  <c r="AX16"/>
  <c r="AZ16"/>
  <c r="BB16"/>
  <c r="BD16"/>
  <c r="O16"/>
  <c r="BE16" s="1"/>
  <c r="I16"/>
  <c r="O15"/>
  <c r="BE15" s="1"/>
  <c r="I15"/>
  <c r="I32" i="22"/>
  <c r="O32"/>
  <c r="P32"/>
  <c r="Q32"/>
  <c r="R32"/>
  <c r="S32"/>
  <c r="T32"/>
  <c r="Z32"/>
  <c r="AB32"/>
  <c r="AD32"/>
  <c r="AF32"/>
  <c r="AH32"/>
  <c r="AJ32"/>
  <c r="AK32"/>
  <c r="AN32"/>
  <c r="AP32"/>
  <c r="AR32"/>
  <c r="AT32"/>
  <c r="AV32"/>
  <c r="AX32"/>
  <c r="AZ32"/>
  <c r="BB32"/>
  <c r="BD32"/>
  <c r="Z27"/>
  <c r="AB27"/>
  <c r="AD27"/>
  <c r="AF27"/>
  <c r="AH27"/>
  <c r="AJ27"/>
  <c r="AK27"/>
  <c r="AN27"/>
  <c r="AP27"/>
  <c r="AR27"/>
  <c r="AT27"/>
  <c r="AV27"/>
  <c r="AX27"/>
  <c r="AZ27"/>
  <c r="BB27"/>
  <c r="BD27"/>
  <c r="BE12" i="29" l="1"/>
  <c r="BE13" s="1"/>
  <c r="O13"/>
  <c r="AL18"/>
  <c r="BF51" i="39"/>
  <c r="U12" i="29"/>
  <c r="U13" s="1"/>
  <c r="AL12"/>
  <c r="AL13" s="1"/>
  <c r="U18"/>
  <c r="W18" s="1"/>
  <c r="X18" s="1"/>
  <c r="AL27" i="22"/>
  <c r="AL17" i="29"/>
  <c r="U17"/>
  <c r="BF17" s="1"/>
  <c r="BF12"/>
  <c r="AG9" i="20"/>
  <c r="AG10" s="1"/>
  <c r="U9"/>
  <c r="U10" s="1"/>
  <c r="U16" i="29"/>
  <c r="BF16" s="1"/>
  <c r="U15"/>
  <c r="W15" s="1"/>
  <c r="X15" s="1"/>
  <c r="AL16"/>
  <c r="AL15"/>
  <c r="W16"/>
  <c r="X16" s="1"/>
  <c r="AL32" i="22"/>
  <c r="U32"/>
  <c r="BG12" i="29" l="1"/>
  <c r="BF13"/>
  <c r="W12"/>
  <c r="BF18"/>
  <c r="BG18" s="1"/>
  <c r="BH18" s="1"/>
  <c r="BI18" s="1"/>
  <c r="BG16"/>
  <c r="BH16" s="1"/>
  <c r="BI16" s="1"/>
  <c r="W17"/>
  <c r="BF15"/>
  <c r="BG15" s="1"/>
  <c r="BH15" s="1"/>
  <c r="BI15" s="1"/>
  <c r="AH9" i="20"/>
  <c r="AH10" s="1"/>
  <c r="BG17" i="29"/>
  <c r="X17"/>
  <c r="W9" i="20"/>
  <c r="W10" s="1"/>
  <c r="BE32" i="22"/>
  <c r="W32"/>
  <c r="BH12" i="29" l="1"/>
  <c r="BG13"/>
  <c r="X12"/>
  <c r="X13" s="1"/>
  <c r="W13"/>
  <c r="X9" i="20"/>
  <c r="X10" s="1"/>
  <c r="AI9"/>
  <c r="AI10" s="1"/>
  <c r="BF32" i="22"/>
  <c r="BH17" i="29"/>
  <c r="BI17" s="1"/>
  <c r="X32" i="22"/>
  <c r="BG32" s="1"/>
  <c r="M11" i="37"/>
  <c r="L11"/>
  <c r="V11"/>
  <c r="Y11"/>
  <c r="AA11"/>
  <c r="AC11"/>
  <c r="AE11"/>
  <c r="AG11"/>
  <c r="AI11"/>
  <c r="AM11"/>
  <c r="AO11"/>
  <c r="AQ11"/>
  <c r="AS11"/>
  <c r="AU11"/>
  <c r="AW11"/>
  <c r="AY11"/>
  <c r="BA11"/>
  <c r="BC11"/>
  <c r="BJ11"/>
  <c r="O10"/>
  <c r="BE10" s="1"/>
  <c r="BE11" s="1"/>
  <c r="P10"/>
  <c r="Q10"/>
  <c r="R10"/>
  <c r="S10"/>
  <c r="T10"/>
  <c r="Z10"/>
  <c r="AB10"/>
  <c r="AD10"/>
  <c r="AF10"/>
  <c r="AH10"/>
  <c r="AJ10"/>
  <c r="AK10"/>
  <c r="AN10"/>
  <c r="AP10"/>
  <c r="AR10"/>
  <c r="AT10"/>
  <c r="AV10"/>
  <c r="AX10"/>
  <c r="AZ10"/>
  <c r="BB10"/>
  <c r="BD10"/>
  <c r="I10"/>
  <c r="BI12" i="29" l="1"/>
  <c r="BI13" s="1"/>
  <c r="BH13"/>
  <c r="AL10" i="37"/>
  <c r="U10"/>
  <c r="W10" s="1"/>
  <c r="X10" s="1"/>
  <c r="BH32" i="22"/>
  <c r="BI32"/>
  <c r="BF10" i="37" l="1"/>
  <c r="BG10" s="1"/>
  <c r="BH10" s="1"/>
  <c r="BI10" s="1"/>
  <c r="BJ12" l="1"/>
  <c r="BC12"/>
  <c r="BA12"/>
  <c r="AY12"/>
  <c r="AW12"/>
  <c r="AU12"/>
  <c r="AS12"/>
  <c r="AQ12"/>
  <c r="AO12"/>
  <c r="AM12"/>
  <c r="AI12"/>
  <c r="AG12"/>
  <c r="AE12"/>
  <c r="AC12"/>
  <c r="AA12"/>
  <c r="Y12"/>
  <c r="V12"/>
  <c r="N11"/>
  <c r="N12" s="1"/>
  <c r="M12"/>
  <c r="L12"/>
  <c r="K11"/>
  <c r="K12" s="1"/>
  <c r="J11"/>
  <c r="J12" s="1"/>
  <c r="BK9"/>
  <c r="BD9"/>
  <c r="BB9"/>
  <c r="AZ9"/>
  <c r="AX9"/>
  <c r="AV9"/>
  <c r="AT9"/>
  <c r="AR9"/>
  <c r="AP9"/>
  <c r="AN9"/>
  <c r="AK9"/>
  <c r="AJ9"/>
  <c r="AH9"/>
  <c r="AF9"/>
  <c r="AD9"/>
  <c r="AB9"/>
  <c r="Z9"/>
  <c r="T9"/>
  <c r="S9"/>
  <c r="R9"/>
  <c r="Q9"/>
  <c r="P9"/>
  <c r="O9"/>
  <c r="I9"/>
  <c r="AB11" l="1"/>
  <c r="AB12" s="1"/>
  <c r="AF11"/>
  <c r="AF12" s="1"/>
  <c r="AJ11"/>
  <c r="AJ12" s="1"/>
  <c r="AN11"/>
  <c r="AN12" s="1"/>
  <c r="AR11"/>
  <c r="AR12" s="1"/>
  <c r="AZ11"/>
  <c r="AZ12" s="1"/>
  <c r="BD11"/>
  <c r="BD12" s="1"/>
  <c r="O11"/>
  <c r="O12" s="1"/>
  <c r="Z11"/>
  <c r="Z12" s="1"/>
  <c r="AD11"/>
  <c r="AD12" s="1"/>
  <c r="AH11"/>
  <c r="AH12" s="1"/>
  <c r="AK11"/>
  <c r="AK12" s="1"/>
  <c r="AP11"/>
  <c r="AP12" s="1"/>
  <c r="BB11"/>
  <c r="BB12" s="1"/>
  <c r="Q11"/>
  <c r="Q12" s="1"/>
  <c r="S11"/>
  <c r="S12" s="1"/>
  <c r="AT11"/>
  <c r="AT12" s="1"/>
  <c r="AX11"/>
  <c r="AX12" s="1"/>
  <c r="BK11"/>
  <c r="BK12" s="1"/>
  <c r="P11"/>
  <c r="P12" s="1"/>
  <c r="R11"/>
  <c r="R12" s="1"/>
  <c r="T11"/>
  <c r="T12" s="1"/>
  <c r="AV11"/>
  <c r="AV12" s="1"/>
  <c r="I11"/>
  <c r="I12" s="1"/>
  <c r="U9"/>
  <c r="U11" s="1"/>
  <c r="AL9"/>
  <c r="AL11" s="1"/>
  <c r="BE12"/>
  <c r="AL12" l="1"/>
  <c r="BF9"/>
  <c r="W9"/>
  <c r="X9" s="1"/>
  <c r="X11" s="1"/>
  <c r="U12"/>
  <c r="W11" l="1"/>
  <c r="W12" s="1"/>
  <c r="BF11"/>
  <c r="BF12" s="1"/>
  <c r="X12"/>
  <c r="BG9"/>
  <c r="BG11" l="1"/>
  <c r="BG12" s="1"/>
  <c r="BH9"/>
  <c r="BI9" s="1"/>
  <c r="BI11" l="1"/>
  <c r="BI12" s="1"/>
  <c r="BH11"/>
  <c r="BH12" s="1"/>
  <c r="O14" i="29" l="1"/>
  <c r="O21" s="1"/>
  <c r="P14"/>
  <c r="P21" s="1"/>
  <c r="Q14"/>
  <c r="Q21" s="1"/>
  <c r="R14"/>
  <c r="R21" s="1"/>
  <c r="S14"/>
  <c r="S21" s="1"/>
  <c r="T14"/>
  <c r="T21" s="1"/>
  <c r="Z14"/>
  <c r="Z21" s="1"/>
  <c r="AB14"/>
  <c r="AB21" s="1"/>
  <c r="AD14"/>
  <c r="AD21" s="1"/>
  <c r="AF14"/>
  <c r="AF21" s="1"/>
  <c r="AH14"/>
  <c r="AH21" s="1"/>
  <c r="AJ14"/>
  <c r="AJ21" s="1"/>
  <c r="AK14"/>
  <c r="AK21" s="1"/>
  <c r="AN14"/>
  <c r="AN21" s="1"/>
  <c r="AP14"/>
  <c r="AP21" s="1"/>
  <c r="AR14"/>
  <c r="AR21" s="1"/>
  <c r="AT14"/>
  <c r="AT21" s="1"/>
  <c r="AV14"/>
  <c r="AV21" s="1"/>
  <c r="AX14"/>
  <c r="AX21" s="1"/>
  <c r="AZ14"/>
  <c r="AZ21" s="1"/>
  <c r="BB14"/>
  <c r="BB21" s="1"/>
  <c r="BD14"/>
  <c r="BD21" s="1"/>
  <c r="BE14"/>
  <c r="BE21" s="1"/>
  <c r="I14"/>
  <c r="P32" i="18"/>
  <c r="P34" s="1"/>
  <c r="Q32"/>
  <c r="Q34" s="1"/>
  <c r="R32"/>
  <c r="R34" s="1"/>
  <c r="S32"/>
  <c r="S34" s="1"/>
  <c r="T32"/>
  <c r="T34" s="1"/>
  <c r="Z32"/>
  <c r="Z34" s="1"/>
  <c r="AB32"/>
  <c r="AB34" s="1"/>
  <c r="AD32"/>
  <c r="AD34" s="1"/>
  <c r="AF32"/>
  <c r="AF34" s="1"/>
  <c r="AH32"/>
  <c r="AH34" s="1"/>
  <c r="AJ32"/>
  <c r="AJ34" s="1"/>
  <c r="AK32"/>
  <c r="AK34" s="1"/>
  <c r="AN32"/>
  <c r="AN34" s="1"/>
  <c r="AP32"/>
  <c r="AP34" s="1"/>
  <c r="AR32"/>
  <c r="AR34" s="1"/>
  <c r="AT32"/>
  <c r="AT34" s="1"/>
  <c r="AV32"/>
  <c r="AV34" s="1"/>
  <c r="AX32"/>
  <c r="AX34" s="1"/>
  <c r="AZ32"/>
  <c r="AZ34" s="1"/>
  <c r="BB32"/>
  <c r="BB34" s="1"/>
  <c r="BD32"/>
  <c r="BD34" s="1"/>
  <c r="P25"/>
  <c r="Q25"/>
  <c r="R25"/>
  <c r="S25"/>
  <c r="T25"/>
  <c r="Z25"/>
  <c r="AB25"/>
  <c r="AD25"/>
  <c r="AF25"/>
  <c r="AH25"/>
  <c r="AJ25"/>
  <c r="AK25"/>
  <c r="AN25"/>
  <c r="AP25"/>
  <c r="AR25"/>
  <c r="AT25"/>
  <c r="AV25"/>
  <c r="AX25"/>
  <c r="AZ25"/>
  <c r="BB25"/>
  <c r="BD25"/>
  <c r="O32"/>
  <c r="O34" s="1"/>
  <c r="I32"/>
  <c r="I34" s="1"/>
  <c r="I25"/>
  <c r="BE32" l="1"/>
  <c r="BE34" s="1"/>
  <c r="BE25"/>
  <c r="AL14" i="29"/>
  <c r="AL21" s="1"/>
  <c r="U14"/>
  <c r="AL32" i="18"/>
  <c r="AL34" s="1"/>
  <c r="U32"/>
  <c r="U34" s="1"/>
  <c r="AL25"/>
  <c r="U25"/>
  <c r="AF34" i="22"/>
  <c r="T27"/>
  <c r="Q27"/>
  <c r="R27"/>
  <c r="O27"/>
  <c r="S27"/>
  <c r="I27"/>
  <c r="V26" i="36"/>
  <c r="L26"/>
  <c r="V25"/>
  <c r="L25"/>
  <c r="V24"/>
  <c r="L24"/>
  <c r="V23"/>
  <c r="L23"/>
  <c r="V22"/>
  <c r="L22"/>
  <c r="V21"/>
  <c r="L21"/>
  <c r="V20"/>
  <c r="L20"/>
  <c r="V19"/>
  <c r="L19"/>
  <c r="V18"/>
  <c r="L18"/>
  <c r="V17"/>
  <c r="L17"/>
  <c r="V16"/>
  <c r="L16"/>
  <c r="V15"/>
  <c r="L15"/>
  <c r="V14"/>
  <c r="L14"/>
  <c r="V13"/>
  <c r="L13"/>
  <c r="V12"/>
  <c r="L12"/>
  <c r="V11"/>
  <c r="L11"/>
  <c r="V10"/>
  <c r="L10"/>
  <c r="V9"/>
  <c r="L9"/>
  <c r="V8"/>
  <c r="L8"/>
  <c r="V7"/>
  <c r="L7"/>
  <c r="L6"/>
  <c r="F43" i="35"/>
  <c r="E43"/>
  <c r="G42"/>
  <c r="G41"/>
  <c r="G40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12" i="34"/>
  <c r="G11"/>
  <c r="G10"/>
  <c r="G9"/>
  <c r="BF14" i="29" l="1"/>
  <c r="BF21" s="1"/>
  <c r="U21"/>
  <c r="L28" i="36"/>
  <c r="V28"/>
  <c r="W32" i="18"/>
  <c r="W34" s="1"/>
  <c r="W14" i="29"/>
  <c r="W21" s="1"/>
  <c r="W9" i="36"/>
  <c r="W12"/>
  <c r="W13"/>
  <c r="W14"/>
  <c r="W15"/>
  <c r="W16"/>
  <c r="W24"/>
  <c r="W25"/>
  <c r="W26"/>
  <c r="BF32" i="18"/>
  <c r="BF34" s="1"/>
  <c r="G14" i="34"/>
  <c r="W23" i="36"/>
  <c r="W22"/>
  <c r="W21"/>
  <c r="W20"/>
  <c r="W19"/>
  <c r="W18"/>
  <c r="W17"/>
  <c r="W11"/>
  <c r="W10"/>
  <c r="W8"/>
  <c r="W7"/>
  <c r="G43" i="35"/>
  <c r="X14" i="29"/>
  <c r="X21" s="1"/>
  <c r="BG14"/>
  <c r="BG21" s="1"/>
  <c r="W25" i="18"/>
  <c r="BF25"/>
  <c r="U27" i="22"/>
  <c r="BE27" s="1"/>
  <c r="BF27" s="1"/>
  <c r="BG32" i="18" l="1"/>
  <c r="BG34" s="1"/>
  <c r="X32"/>
  <c r="X34" s="1"/>
  <c r="BG25"/>
  <c r="X25"/>
  <c r="BH14" i="29"/>
  <c r="W27" i="22"/>
  <c r="X27" s="1"/>
  <c r="BG27" s="1"/>
  <c r="BI14" i="29" l="1"/>
  <c r="BI21" s="1"/>
  <c r="BH21"/>
  <c r="BH32" i="18"/>
  <c r="BH34" s="1"/>
  <c r="BH25"/>
  <c r="BI27" i="22"/>
  <c r="BH27"/>
  <c r="P27" i="32"/>
  <c r="P26"/>
  <c r="P25"/>
  <c r="P24"/>
  <c r="P23"/>
  <c r="P22"/>
  <c r="P21"/>
  <c r="O20"/>
  <c r="N20"/>
  <c r="M20"/>
  <c r="L20"/>
  <c r="K20"/>
  <c r="J20"/>
  <c r="P19"/>
  <c r="P18"/>
  <c r="P17"/>
  <c r="L16"/>
  <c r="P16" s="1"/>
  <c r="L15"/>
  <c r="O14"/>
  <c r="N14"/>
  <c r="M14"/>
  <c r="J14"/>
  <c r="L13"/>
  <c r="P13" s="1"/>
  <c r="O12"/>
  <c r="N12"/>
  <c r="J12"/>
  <c r="P11"/>
  <c r="P10"/>
  <c r="P9"/>
  <c r="Z36" i="22"/>
  <c r="AB36"/>
  <c r="AD36"/>
  <c r="AF36"/>
  <c r="AH36"/>
  <c r="AJ36"/>
  <c r="AK36"/>
  <c r="AN36"/>
  <c r="AP36"/>
  <c r="AR36"/>
  <c r="AT36"/>
  <c r="AV36"/>
  <c r="AX36"/>
  <c r="AZ36"/>
  <c r="BB36"/>
  <c r="BD36"/>
  <c r="P36"/>
  <c r="R36"/>
  <c r="S36"/>
  <c r="T36"/>
  <c r="I36"/>
  <c r="O36"/>
  <c r="P12" i="32" l="1"/>
  <c r="L14"/>
  <c r="BI32" i="18"/>
  <c r="BI34" s="1"/>
  <c r="BI25"/>
  <c r="P20" i="32"/>
  <c r="P14"/>
  <c r="P15"/>
  <c r="AL36" i="22"/>
  <c r="BF36" s="1"/>
  <c r="U36"/>
  <c r="W36" s="1"/>
  <c r="X36" s="1"/>
  <c r="Z19"/>
  <c r="Z12"/>
  <c r="AB12"/>
  <c r="AD12"/>
  <c r="AF12"/>
  <c r="AH12"/>
  <c r="AJ12"/>
  <c r="AN12"/>
  <c r="AP12"/>
  <c r="AR12"/>
  <c r="AT12"/>
  <c r="AV12"/>
  <c r="AX12"/>
  <c r="AZ12"/>
  <c r="BB12"/>
  <c r="BD12"/>
  <c r="P12"/>
  <c r="Q12"/>
  <c r="R12"/>
  <c r="S12"/>
  <c r="T12"/>
  <c r="I12"/>
  <c r="O12"/>
  <c r="BF9" i="19"/>
  <c r="T9"/>
  <c r="R9" i="18"/>
  <c r="R10" s="1"/>
  <c r="AH13" i="22"/>
  <c r="BG36" l="1"/>
  <c r="BH36" s="1"/>
  <c r="AL12"/>
  <c r="U12"/>
  <c r="BI36" l="1"/>
  <c r="BF12"/>
  <c r="W12"/>
  <c r="X12" s="1"/>
  <c r="BG12" l="1"/>
  <c r="BI12" l="1"/>
  <c r="BH12"/>
  <c r="I21" i="29"/>
  <c r="J10"/>
  <c r="J22" s="1"/>
  <c r="K10"/>
  <c r="K22" s="1"/>
  <c r="L10"/>
  <c r="L22" s="1"/>
  <c r="M10"/>
  <c r="M22" s="1"/>
  <c r="N10"/>
  <c r="N22" s="1"/>
  <c r="V10"/>
  <c r="V22" s="1"/>
  <c r="Y10"/>
  <c r="Y22" s="1"/>
  <c r="AA10"/>
  <c r="AA22" s="1"/>
  <c r="AC10"/>
  <c r="AC22" s="1"/>
  <c r="AE10"/>
  <c r="AE22" s="1"/>
  <c r="AG10"/>
  <c r="AG22" s="1"/>
  <c r="AI10"/>
  <c r="AI22" s="1"/>
  <c r="AM10"/>
  <c r="AM22" s="1"/>
  <c r="AO10"/>
  <c r="AO22" s="1"/>
  <c r="AQ10"/>
  <c r="AQ22" s="1"/>
  <c r="AS10"/>
  <c r="AS22" s="1"/>
  <c r="AU10"/>
  <c r="AU22" s="1"/>
  <c r="AW10"/>
  <c r="AW22" s="1"/>
  <c r="AY10"/>
  <c r="AY22" s="1"/>
  <c r="BA10"/>
  <c r="BA22" s="1"/>
  <c r="BC10"/>
  <c r="BC22" s="1"/>
  <c r="BD9"/>
  <c r="BD10" s="1"/>
  <c r="BD22" s="1"/>
  <c r="BB9"/>
  <c r="BB10" s="1"/>
  <c r="BB22" s="1"/>
  <c r="AZ9"/>
  <c r="AZ10" s="1"/>
  <c r="AZ22" s="1"/>
  <c r="AX9"/>
  <c r="AX10" s="1"/>
  <c r="AX22" s="1"/>
  <c r="AV9"/>
  <c r="AV10" s="1"/>
  <c r="AV22" s="1"/>
  <c r="AT9"/>
  <c r="AT10" s="1"/>
  <c r="AT22" s="1"/>
  <c r="AR9"/>
  <c r="AR10" s="1"/>
  <c r="AR22" s="1"/>
  <c r="AP9"/>
  <c r="AP10" s="1"/>
  <c r="AP22" s="1"/>
  <c r="AN9"/>
  <c r="AN10" s="1"/>
  <c r="AN22" s="1"/>
  <c r="AK9"/>
  <c r="AJ9"/>
  <c r="AH9"/>
  <c r="AF9"/>
  <c r="AD9"/>
  <c r="AB9"/>
  <c r="Z9"/>
  <c r="T9"/>
  <c r="S9"/>
  <c r="R9"/>
  <c r="Q9"/>
  <c r="P9"/>
  <c r="O9"/>
  <c r="BE9" s="1"/>
  <c r="I9"/>
  <c r="I30" i="22"/>
  <c r="O30"/>
  <c r="P30"/>
  <c r="Q30"/>
  <c r="R30"/>
  <c r="S30"/>
  <c r="T30"/>
  <c r="Z30"/>
  <c r="AB30"/>
  <c r="AD30"/>
  <c r="AF30"/>
  <c r="AH30"/>
  <c r="AJ30"/>
  <c r="AK30"/>
  <c r="AN30"/>
  <c r="AP30"/>
  <c r="AR30"/>
  <c r="AT30"/>
  <c r="AV30"/>
  <c r="AX30"/>
  <c r="AZ30"/>
  <c r="BB30"/>
  <c r="BD30"/>
  <c r="BE10" i="29" l="1"/>
  <c r="BE22" s="1"/>
  <c r="Q10"/>
  <c r="Q22" s="1"/>
  <c r="S10"/>
  <c r="S22" s="1"/>
  <c r="AL9"/>
  <c r="AL10" s="1"/>
  <c r="AL22" s="1"/>
  <c r="AD10"/>
  <c r="AD22" s="1"/>
  <c r="AH10"/>
  <c r="AH22" s="1"/>
  <c r="AK10"/>
  <c r="AK22" s="1"/>
  <c r="R10"/>
  <c r="R22" s="1"/>
  <c r="T10"/>
  <c r="T22" s="1"/>
  <c r="I10"/>
  <c r="I22" s="1"/>
  <c r="AB10"/>
  <c r="AB22" s="1"/>
  <c r="AF10"/>
  <c r="AF22" s="1"/>
  <c r="AJ10"/>
  <c r="AJ22" s="1"/>
  <c r="U9"/>
  <c r="O10"/>
  <c r="O22" s="1"/>
  <c r="Z10"/>
  <c r="Z22" s="1"/>
  <c r="P10"/>
  <c r="P22" s="1"/>
  <c r="U30" i="22"/>
  <c r="AL30"/>
  <c r="W30" l="1"/>
  <c r="U10" i="29"/>
  <c r="U22" s="1"/>
  <c r="W9"/>
  <c r="X9" s="1"/>
  <c r="X10" s="1"/>
  <c r="X22" s="1"/>
  <c r="BE30" i="22"/>
  <c r="BF30" s="1"/>
  <c r="BF9" i="29"/>
  <c r="X30" i="22" l="1"/>
  <c r="BG30" s="1"/>
  <c r="W10" i="29"/>
  <c r="W22" s="1"/>
  <c r="BF10"/>
  <c r="BF22" s="1"/>
  <c r="BG9"/>
  <c r="BI30" i="22" l="1"/>
  <c r="BH30"/>
  <c r="BH9" i="29"/>
  <c r="BI9" s="1"/>
  <c r="BG10"/>
  <c r="BG22" s="1"/>
  <c r="BI10" l="1"/>
  <c r="BI22" s="1"/>
  <c r="BH10"/>
  <c r="BH22" s="1"/>
  <c r="AP49" i="22" l="1"/>
  <c r="AP48"/>
  <c r="AP45"/>
  <c r="AP47" s="1"/>
  <c r="AP35"/>
  <c r="AP34"/>
  <c r="AP31"/>
  <c r="AP29"/>
  <c r="AP28"/>
  <c r="AP26"/>
  <c r="AP25"/>
  <c r="AP22"/>
  <c r="AP21"/>
  <c r="AP20"/>
  <c r="AP19"/>
  <c r="AP17"/>
  <c r="AP16"/>
  <c r="AP15"/>
  <c r="AP14"/>
  <c r="AP13"/>
  <c r="AP11"/>
  <c r="AN49"/>
  <c r="AN48"/>
  <c r="AN45"/>
  <c r="AN47" s="1"/>
  <c r="AN35"/>
  <c r="AN34"/>
  <c r="AN31"/>
  <c r="AN29"/>
  <c r="AN28"/>
  <c r="AN26"/>
  <c r="AN25"/>
  <c r="AN22"/>
  <c r="AN21"/>
  <c r="AN20"/>
  <c r="AN19"/>
  <c r="AN17"/>
  <c r="AN16"/>
  <c r="AN15"/>
  <c r="AN14"/>
  <c r="AN13"/>
  <c r="AN11"/>
  <c r="AK49"/>
  <c r="AJ49"/>
  <c r="AK48"/>
  <c r="AK50" s="1"/>
  <c r="AJ48"/>
  <c r="AJ50" s="1"/>
  <c r="AK45"/>
  <c r="AK47" s="1"/>
  <c r="AJ45"/>
  <c r="AJ47" s="1"/>
  <c r="AK35"/>
  <c r="AJ35"/>
  <c r="AK34"/>
  <c r="AJ34"/>
  <c r="AK31"/>
  <c r="AJ31"/>
  <c r="AK29"/>
  <c r="AJ29"/>
  <c r="AK28"/>
  <c r="AJ28"/>
  <c r="AK26"/>
  <c r="AJ26"/>
  <c r="AK25"/>
  <c r="AJ25"/>
  <c r="AK22"/>
  <c r="AJ22"/>
  <c r="AK21"/>
  <c r="AJ21"/>
  <c r="AK20"/>
  <c r="AJ20"/>
  <c r="AK19"/>
  <c r="AK24" s="1"/>
  <c r="AJ19"/>
  <c r="AJ24" s="1"/>
  <c r="AK17"/>
  <c r="AJ17"/>
  <c r="AK16"/>
  <c r="AJ16"/>
  <c r="AK15"/>
  <c r="AJ15"/>
  <c r="AK14"/>
  <c r="AJ14"/>
  <c r="AK13"/>
  <c r="AJ13"/>
  <c r="AK11"/>
  <c r="AJ11"/>
  <c r="AK9"/>
  <c r="AK51" s="1"/>
  <c r="T49"/>
  <c r="S49"/>
  <c r="R49"/>
  <c r="Q49"/>
  <c r="P49"/>
  <c r="O49"/>
  <c r="T48"/>
  <c r="T50" s="1"/>
  <c r="S48"/>
  <c r="S50" s="1"/>
  <c r="R48"/>
  <c r="R50" s="1"/>
  <c r="Q48"/>
  <c r="Q50" s="1"/>
  <c r="P48"/>
  <c r="P50" s="1"/>
  <c r="O48"/>
  <c r="O50" s="1"/>
  <c r="T45"/>
  <c r="T47" s="1"/>
  <c r="S45"/>
  <c r="S47" s="1"/>
  <c r="R45"/>
  <c r="R47" s="1"/>
  <c r="Q45"/>
  <c r="Q47" s="1"/>
  <c r="P45"/>
  <c r="P47" s="1"/>
  <c r="O45"/>
  <c r="O47" s="1"/>
  <c r="T35"/>
  <c r="S35"/>
  <c r="R35"/>
  <c r="Q35"/>
  <c r="P35"/>
  <c r="O35"/>
  <c r="T34"/>
  <c r="S34"/>
  <c r="R34"/>
  <c r="Q34"/>
  <c r="P34"/>
  <c r="O34"/>
  <c r="T31"/>
  <c r="S31"/>
  <c r="R31"/>
  <c r="Q31"/>
  <c r="P31"/>
  <c r="O31"/>
  <c r="T29"/>
  <c r="S29"/>
  <c r="R29"/>
  <c r="Q29"/>
  <c r="P29"/>
  <c r="O29"/>
  <c r="T28"/>
  <c r="S28"/>
  <c r="R28"/>
  <c r="Q28"/>
  <c r="P28"/>
  <c r="O28"/>
  <c r="T26"/>
  <c r="S26"/>
  <c r="R26"/>
  <c r="Q26"/>
  <c r="P26"/>
  <c r="O26"/>
  <c r="T25"/>
  <c r="S25"/>
  <c r="R25"/>
  <c r="Q25"/>
  <c r="P25"/>
  <c r="O25"/>
  <c r="T22"/>
  <c r="S22"/>
  <c r="R22"/>
  <c r="Q22"/>
  <c r="P22"/>
  <c r="O22"/>
  <c r="T21"/>
  <c r="S21"/>
  <c r="R21"/>
  <c r="Q21"/>
  <c r="P21"/>
  <c r="O21"/>
  <c r="T20"/>
  <c r="S20"/>
  <c r="R20"/>
  <c r="Q20"/>
  <c r="P20"/>
  <c r="O20"/>
  <c r="T19"/>
  <c r="T24" s="1"/>
  <c r="S19"/>
  <c r="S24" s="1"/>
  <c r="R19"/>
  <c r="R24" s="1"/>
  <c r="Q19"/>
  <c r="Q24" s="1"/>
  <c r="P19"/>
  <c r="P24" s="1"/>
  <c r="O19"/>
  <c r="O24" s="1"/>
  <c r="T17"/>
  <c r="S17"/>
  <c r="R17"/>
  <c r="Q17"/>
  <c r="P17"/>
  <c r="O17"/>
  <c r="T16"/>
  <c r="S16"/>
  <c r="R16"/>
  <c r="Q16"/>
  <c r="P16"/>
  <c r="O16"/>
  <c r="T15"/>
  <c r="S15"/>
  <c r="R15"/>
  <c r="Q15"/>
  <c r="P15"/>
  <c r="O15"/>
  <c r="T14"/>
  <c r="S14"/>
  <c r="R14"/>
  <c r="Q14"/>
  <c r="P14"/>
  <c r="O14"/>
  <c r="T13"/>
  <c r="S13"/>
  <c r="R13"/>
  <c r="Q13"/>
  <c r="P13"/>
  <c r="O13"/>
  <c r="T11"/>
  <c r="S11"/>
  <c r="R11"/>
  <c r="Q11"/>
  <c r="P11"/>
  <c r="O11"/>
  <c r="I49"/>
  <c r="I48"/>
  <c r="I45"/>
  <c r="I47" s="1"/>
  <c r="I35"/>
  <c r="I34"/>
  <c r="I31"/>
  <c r="I29"/>
  <c r="I28"/>
  <c r="I26"/>
  <c r="I25"/>
  <c r="I22"/>
  <c r="I21"/>
  <c r="I20"/>
  <c r="I19"/>
  <c r="I17"/>
  <c r="I16"/>
  <c r="I15"/>
  <c r="I14"/>
  <c r="I13"/>
  <c r="I11"/>
  <c r="W26" i="23"/>
  <c r="AN24" i="22" l="1"/>
  <c r="AN50"/>
  <c r="AP24"/>
  <c r="AP50"/>
  <c r="I24"/>
  <c r="I39"/>
  <c r="U26"/>
  <c r="W26" s="1"/>
  <c r="X26" s="1"/>
  <c r="U28"/>
  <c r="W28" s="1"/>
  <c r="X28" s="1"/>
  <c r="U34"/>
  <c r="W34" s="1"/>
  <c r="X34" s="1"/>
  <c r="U35"/>
  <c r="I50"/>
  <c r="U45"/>
  <c r="U47" s="1"/>
  <c r="U48"/>
  <c r="U50" s="1"/>
  <c r="U49"/>
  <c r="W49" s="1"/>
  <c r="X49" s="1"/>
  <c r="U11"/>
  <c r="U13"/>
  <c r="U14"/>
  <c r="W14" s="1"/>
  <c r="X14" s="1"/>
  <c r="U15"/>
  <c r="W15" s="1"/>
  <c r="X15" s="1"/>
  <c r="U16"/>
  <c r="W16" s="1"/>
  <c r="X16" s="1"/>
  <c r="U17"/>
  <c r="W17" s="1"/>
  <c r="X17" s="1"/>
  <c r="U19"/>
  <c r="U20"/>
  <c r="U25"/>
  <c r="U29"/>
  <c r="U31"/>
  <c r="W31" s="1"/>
  <c r="X31" s="1"/>
  <c r="U21"/>
  <c r="U22"/>
  <c r="W22" s="1"/>
  <c r="X22" s="1"/>
  <c r="W35"/>
  <c r="X35" s="1"/>
  <c r="W21"/>
  <c r="X21" s="1"/>
  <c r="I19" i="20"/>
  <c r="I20" s="1"/>
  <c r="O19"/>
  <c r="O20" s="1"/>
  <c r="P19"/>
  <c r="P20" s="1"/>
  <c r="Q19"/>
  <c r="Q20" s="1"/>
  <c r="R19"/>
  <c r="R20" s="1"/>
  <c r="S19"/>
  <c r="S20" s="1"/>
  <c r="T19"/>
  <c r="T20" s="1"/>
  <c r="Z19"/>
  <c r="Z20" s="1"/>
  <c r="AB19"/>
  <c r="AB20" s="1"/>
  <c r="AD19"/>
  <c r="AD20" s="1"/>
  <c r="AF19"/>
  <c r="AF20" s="1"/>
  <c r="AK19"/>
  <c r="AK20" s="1"/>
  <c r="I9" i="19"/>
  <c r="BD30" i="18"/>
  <c r="BD31" s="1"/>
  <c r="BB30"/>
  <c r="BB31" s="1"/>
  <c r="AZ30"/>
  <c r="AZ31" s="1"/>
  <c r="AX30"/>
  <c r="AX31" s="1"/>
  <c r="AV30"/>
  <c r="AV31" s="1"/>
  <c r="AT30"/>
  <c r="AT31" s="1"/>
  <c r="AR30"/>
  <c r="AR31" s="1"/>
  <c r="AP30"/>
  <c r="AP31" s="1"/>
  <c r="AN30"/>
  <c r="AN31" s="1"/>
  <c r="AK30"/>
  <c r="AK31" s="1"/>
  <c r="AJ30"/>
  <c r="AJ31" s="1"/>
  <c r="AH30"/>
  <c r="AH31" s="1"/>
  <c r="AF30"/>
  <c r="AF31" s="1"/>
  <c r="AD30"/>
  <c r="AD31" s="1"/>
  <c r="AB30"/>
  <c r="AB31" s="1"/>
  <c r="Z30"/>
  <c r="Z31" s="1"/>
  <c r="T30"/>
  <c r="T31" s="1"/>
  <c r="S30"/>
  <c r="S31" s="1"/>
  <c r="R30"/>
  <c r="R31" s="1"/>
  <c r="Q30"/>
  <c r="Q31" s="1"/>
  <c r="P30"/>
  <c r="P31" s="1"/>
  <c r="O30"/>
  <c r="O31" s="1"/>
  <c r="I30"/>
  <c r="I31" s="1"/>
  <c r="O23"/>
  <c r="BE23" s="1"/>
  <c r="P23"/>
  <c r="Q23"/>
  <c r="R23"/>
  <c r="S23"/>
  <c r="T23"/>
  <c r="Z23"/>
  <c r="AB23"/>
  <c r="AD23"/>
  <c r="AF23"/>
  <c r="AH23"/>
  <c r="AJ23"/>
  <c r="AK23"/>
  <c r="AN23"/>
  <c r="AP23"/>
  <c r="AR23"/>
  <c r="AT23"/>
  <c r="AV23"/>
  <c r="AX23"/>
  <c r="AZ23"/>
  <c r="BB23"/>
  <c r="BD23"/>
  <c r="I23"/>
  <c r="O22"/>
  <c r="P22"/>
  <c r="Q22"/>
  <c r="Q27" s="1"/>
  <c r="R22"/>
  <c r="S22"/>
  <c r="S27" s="1"/>
  <c r="T22"/>
  <c r="Z22"/>
  <c r="Z27" s="1"/>
  <c r="AB22"/>
  <c r="AD22"/>
  <c r="AD27" s="1"/>
  <c r="AF22"/>
  <c r="AH22"/>
  <c r="AH27" s="1"/>
  <c r="AJ22"/>
  <c r="AK22"/>
  <c r="AK27" s="1"/>
  <c r="AN22"/>
  <c r="AP22"/>
  <c r="AP27" s="1"/>
  <c r="AR22"/>
  <c r="AT22"/>
  <c r="AT27" s="1"/>
  <c r="AV22"/>
  <c r="AX22"/>
  <c r="AX27" s="1"/>
  <c r="AZ22"/>
  <c r="BB22"/>
  <c r="BB27" s="1"/>
  <c r="BD22"/>
  <c r="I22"/>
  <c r="O18"/>
  <c r="P18"/>
  <c r="Q18"/>
  <c r="R18"/>
  <c r="S18"/>
  <c r="T18"/>
  <c r="Z18"/>
  <c r="AB18"/>
  <c r="AD18"/>
  <c r="AF18"/>
  <c r="AH18"/>
  <c r="AJ18"/>
  <c r="AK18"/>
  <c r="AN18"/>
  <c r="AP18"/>
  <c r="AR18"/>
  <c r="AT18"/>
  <c r="AV18"/>
  <c r="AX18"/>
  <c r="AZ18"/>
  <c r="BB18"/>
  <c r="BD18"/>
  <c r="O19"/>
  <c r="BE19" s="1"/>
  <c r="P19"/>
  <c r="Q19"/>
  <c r="R19"/>
  <c r="S19"/>
  <c r="T19"/>
  <c r="Z19"/>
  <c r="AB19"/>
  <c r="AD19"/>
  <c r="AF19"/>
  <c r="AH19"/>
  <c r="AJ19"/>
  <c r="AK19"/>
  <c r="AN19"/>
  <c r="AP19"/>
  <c r="AR19"/>
  <c r="AT19"/>
  <c r="AV19"/>
  <c r="AX19"/>
  <c r="AZ19"/>
  <c r="BB19"/>
  <c r="BD19"/>
  <c r="O20"/>
  <c r="P20"/>
  <c r="Q20"/>
  <c r="R20"/>
  <c r="S20"/>
  <c r="T20"/>
  <c r="Z20"/>
  <c r="AB20"/>
  <c r="AD20"/>
  <c r="AF20"/>
  <c r="AH20"/>
  <c r="AJ20"/>
  <c r="AK20"/>
  <c r="AN20"/>
  <c r="AP20"/>
  <c r="AR20"/>
  <c r="AT20"/>
  <c r="AV20"/>
  <c r="AX20"/>
  <c r="AZ20"/>
  <c r="BB20"/>
  <c r="BD20"/>
  <c r="BE20"/>
  <c r="O13"/>
  <c r="BE13" s="1"/>
  <c r="P13"/>
  <c r="Q13"/>
  <c r="R13"/>
  <c r="S13"/>
  <c r="T13"/>
  <c r="Z13"/>
  <c r="AB13"/>
  <c r="AD13"/>
  <c r="AF13"/>
  <c r="AH13"/>
  <c r="AJ13"/>
  <c r="AK13"/>
  <c r="AN13"/>
  <c r="AP13"/>
  <c r="AR13"/>
  <c r="AT13"/>
  <c r="AV13"/>
  <c r="AX13"/>
  <c r="AZ13"/>
  <c r="BB13"/>
  <c r="BD13"/>
  <c r="O14"/>
  <c r="P14"/>
  <c r="Q14"/>
  <c r="R14"/>
  <c r="S14"/>
  <c r="T14"/>
  <c r="Z14"/>
  <c r="AB14"/>
  <c r="AD14"/>
  <c r="AF14"/>
  <c r="AH14"/>
  <c r="AJ14"/>
  <c r="AK14"/>
  <c r="AN14"/>
  <c r="AP14"/>
  <c r="AR14"/>
  <c r="AT14"/>
  <c r="AV14"/>
  <c r="AX14"/>
  <c r="AZ14"/>
  <c r="BB14"/>
  <c r="BD14"/>
  <c r="BE14"/>
  <c r="O15"/>
  <c r="BE15" s="1"/>
  <c r="P15"/>
  <c r="Q15"/>
  <c r="R15"/>
  <c r="S15"/>
  <c r="T15"/>
  <c r="Z15"/>
  <c r="AB15"/>
  <c r="AD15"/>
  <c r="AF15"/>
  <c r="AH15"/>
  <c r="AJ15"/>
  <c r="AK15"/>
  <c r="AN15"/>
  <c r="AP15"/>
  <c r="AR15"/>
  <c r="AT15"/>
  <c r="AV15"/>
  <c r="AX15"/>
  <c r="AZ15"/>
  <c r="BB15"/>
  <c r="BD15"/>
  <c r="O16"/>
  <c r="I16"/>
  <c r="I15"/>
  <c r="I14"/>
  <c r="I13"/>
  <c r="I12"/>
  <c r="I11"/>
  <c r="I9"/>
  <c r="I10" s="1"/>
  <c r="AR34" i="22"/>
  <c r="AT34"/>
  <c r="AV34"/>
  <c r="AX34"/>
  <c r="AZ34"/>
  <c r="BB34"/>
  <c r="BD34"/>
  <c r="Z31"/>
  <c r="AB31"/>
  <c r="AD31"/>
  <c r="AF31"/>
  <c r="AH31"/>
  <c r="AR31"/>
  <c r="AT31"/>
  <c r="AV31"/>
  <c r="AX31"/>
  <c r="AZ31"/>
  <c r="BB31"/>
  <c r="BD31"/>
  <c r="BD35"/>
  <c r="BB35"/>
  <c r="AZ35"/>
  <c r="AX35"/>
  <c r="AV35"/>
  <c r="AT35"/>
  <c r="AR35"/>
  <c r="AH35"/>
  <c r="AF35"/>
  <c r="AD35"/>
  <c r="AB35"/>
  <c r="Z35"/>
  <c r="BD49"/>
  <c r="BB49"/>
  <c r="AZ49"/>
  <c r="AX49"/>
  <c r="AV49"/>
  <c r="AT49"/>
  <c r="AR49"/>
  <c r="AH49"/>
  <c r="AF49"/>
  <c r="AD49"/>
  <c r="AB49"/>
  <c r="Z49"/>
  <c r="J10" i="23"/>
  <c r="O10"/>
  <c r="Q10"/>
  <c r="S10"/>
  <c r="U10"/>
  <c r="W10"/>
  <c r="Y10"/>
  <c r="J11"/>
  <c r="L11" s="1"/>
  <c r="O11"/>
  <c r="Q11"/>
  <c r="S11"/>
  <c r="U11"/>
  <c r="W11"/>
  <c r="Y11"/>
  <c r="J12"/>
  <c r="L12" s="1"/>
  <c r="O12"/>
  <c r="Q12"/>
  <c r="S12"/>
  <c r="U12"/>
  <c r="W12"/>
  <c r="Y12"/>
  <c r="I13"/>
  <c r="U14"/>
  <c r="J15"/>
  <c r="O15"/>
  <c r="O17" s="1"/>
  <c r="Q15"/>
  <c r="S15"/>
  <c r="S17" s="1"/>
  <c r="U15"/>
  <c r="W15"/>
  <c r="W17" s="1"/>
  <c r="Y15"/>
  <c r="J16"/>
  <c r="L16" s="1"/>
  <c r="O16"/>
  <c r="Q16"/>
  <c r="S16"/>
  <c r="U16"/>
  <c r="W16"/>
  <c r="Y16"/>
  <c r="I17"/>
  <c r="M18"/>
  <c r="U18"/>
  <c r="J19"/>
  <c r="O19"/>
  <c r="O20" s="1"/>
  <c r="Q19"/>
  <c r="Q20" s="1"/>
  <c r="S19"/>
  <c r="S20" s="1"/>
  <c r="U19"/>
  <c r="U20" s="1"/>
  <c r="W19"/>
  <c r="W20" s="1"/>
  <c r="Y19"/>
  <c r="Y20" s="1"/>
  <c r="I20"/>
  <c r="M21"/>
  <c r="U21"/>
  <c r="J22"/>
  <c r="O22"/>
  <c r="O23" s="1"/>
  <c r="Q22"/>
  <c r="Q23" s="1"/>
  <c r="S22"/>
  <c r="S23" s="1"/>
  <c r="U22"/>
  <c r="U23" s="1"/>
  <c r="W22"/>
  <c r="W23" s="1"/>
  <c r="Y22"/>
  <c r="Y23" s="1"/>
  <c r="I23"/>
  <c r="J24"/>
  <c r="O24"/>
  <c r="Q24"/>
  <c r="S24"/>
  <c r="U24"/>
  <c r="W24"/>
  <c r="Y24"/>
  <c r="J25"/>
  <c r="L25" s="1"/>
  <c r="O25"/>
  <c r="Q25"/>
  <c r="S25"/>
  <c r="U25"/>
  <c r="Y25"/>
  <c r="Z25"/>
  <c r="J26"/>
  <c r="L26" s="1"/>
  <c r="O26"/>
  <c r="Q26"/>
  <c r="S26"/>
  <c r="U26"/>
  <c r="Y26"/>
  <c r="I9" i="22"/>
  <c r="I10" s="1"/>
  <c r="O9"/>
  <c r="O51" s="1"/>
  <c r="P9"/>
  <c r="P51" s="1"/>
  <c r="Q9"/>
  <c r="Q51" s="1"/>
  <c r="R9"/>
  <c r="R51" s="1"/>
  <c r="S9"/>
  <c r="S51" s="1"/>
  <c r="T9"/>
  <c r="T51" s="1"/>
  <c r="Z9"/>
  <c r="AB9"/>
  <c r="AD9"/>
  <c r="AF9"/>
  <c r="AH9"/>
  <c r="AJ9"/>
  <c r="AJ51" s="1"/>
  <c r="AN9"/>
  <c r="AN51" s="1"/>
  <c r="AP9"/>
  <c r="AR9"/>
  <c r="AT9"/>
  <c r="AV9"/>
  <c r="AX9"/>
  <c r="AZ9"/>
  <c r="BB9"/>
  <c r="BD9"/>
  <c r="Z11"/>
  <c r="AB11"/>
  <c r="AD11"/>
  <c r="AF11"/>
  <c r="AH11"/>
  <c r="AR11"/>
  <c r="AT11"/>
  <c r="AV11"/>
  <c r="AX11"/>
  <c r="AZ11"/>
  <c r="BB11"/>
  <c r="BD11"/>
  <c r="Z13"/>
  <c r="AB13"/>
  <c r="AD13"/>
  <c r="AF13"/>
  <c r="AR13"/>
  <c r="AT13"/>
  <c r="AV13"/>
  <c r="AX13"/>
  <c r="AZ13"/>
  <c r="BB13"/>
  <c r="BD13"/>
  <c r="Z14"/>
  <c r="AB14"/>
  <c r="AD14"/>
  <c r="AF14"/>
  <c r="AH14"/>
  <c r="AR14"/>
  <c r="AT14"/>
  <c r="AV14"/>
  <c r="AX14"/>
  <c r="AZ14"/>
  <c r="BB14"/>
  <c r="BD14"/>
  <c r="I18"/>
  <c r="Z15"/>
  <c r="AB15"/>
  <c r="AD15"/>
  <c r="AF15"/>
  <c r="AH15"/>
  <c r="AR15"/>
  <c r="AT15"/>
  <c r="AV15"/>
  <c r="AX15"/>
  <c r="AX18" s="1"/>
  <c r="AZ15"/>
  <c r="BB15"/>
  <c r="BD15"/>
  <c r="Z16"/>
  <c r="AB16"/>
  <c r="AD16"/>
  <c r="AF16"/>
  <c r="AH16"/>
  <c r="AR16"/>
  <c r="AT16"/>
  <c r="AV16"/>
  <c r="AX16"/>
  <c r="AZ16"/>
  <c r="BB16"/>
  <c r="BD16"/>
  <c r="Z17"/>
  <c r="AB17"/>
  <c r="AD17"/>
  <c r="AF17"/>
  <c r="AH17"/>
  <c r="AR17"/>
  <c r="AT17"/>
  <c r="AV17"/>
  <c r="AX17"/>
  <c r="AZ17"/>
  <c r="BB17"/>
  <c r="BD17"/>
  <c r="AB19"/>
  <c r="AD19"/>
  <c r="AF19"/>
  <c r="AH19"/>
  <c r="AR19"/>
  <c r="AT19"/>
  <c r="AV19"/>
  <c r="AX19"/>
  <c r="AZ19"/>
  <c r="BB19"/>
  <c r="BD19"/>
  <c r="Z20"/>
  <c r="AB20"/>
  <c r="AD20"/>
  <c r="AF20"/>
  <c r="AH20"/>
  <c r="AR20"/>
  <c r="AT20"/>
  <c r="AV20"/>
  <c r="AX20"/>
  <c r="AZ20"/>
  <c r="BB20"/>
  <c r="BD20"/>
  <c r="Z21"/>
  <c r="AB21"/>
  <c r="AD21"/>
  <c r="AF21"/>
  <c r="AH21"/>
  <c r="AR21"/>
  <c r="AT21"/>
  <c r="AV21"/>
  <c r="AX21"/>
  <c r="AZ21"/>
  <c r="BB21"/>
  <c r="BD21"/>
  <c r="Z22"/>
  <c r="AB22"/>
  <c r="AD22"/>
  <c r="AF22"/>
  <c r="AH22"/>
  <c r="AR22"/>
  <c r="AT22"/>
  <c r="AV22"/>
  <c r="AX22"/>
  <c r="AZ22"/>
  <c r="BB22"/>
  <c r="BD22"/>
  <c r="Z25"/>
  <c r="AB25"/>
  <c r="AD25"/>
  <c r="AF25"/>
  <c r="AH25"/>
  <c r="AR25"/>
  <c r="AT25"/>
  <c r="AV25"/>
  <c r="AX25"/>
  <c r="AZ25"/>
  <c r="BB25"/>
  <c r="BD25"/>
  <c r="Z26"/>
  <c r="AB26"/>
  <c r="AD26"/>
  <c r="AF26"/>
  <c r="AH26"/>
  <c r="AR26"/>
  <c r="AT26"/>
  <c r="AV26"/>
  <c r="AX26"/>
  <c r="AZ26"/>
  <c r="BB26"/>
  <c r="BD26"/>
  <c r="Z28"/>
  <c r="AB28"/>
  <c r="AD28"/>
  <c r="AF28"/>
  <c r="AH28"/>
  <c r="AR28"/>
  <c r="AT28"/>
  <c r="AV28"/>
  <c r="AX28"/>
  <c r="AZ28"/>
  <c r="BB28"/>
  <c r="BD28"/>
  <c r="Z29"/>
  <c r="AB29"/>
  <c r="AD29"/>
  <c r="AF29"/>
  <c r="AH29"/>
  <c r="AR29"/>
  <c r="AT29"/>
  <c r="AV29"/>
  <c r="AX29"/>
  <c r="AZ29"/>
  <c r="BB29"/>
  <c r="BD29"/>
  <c r="Z34"/>
  <c r="AL34" s="1"/>
  <c r="Z45"/>
  <c r="Z47" s="1"/>
  <c r="AB45"/>
  <c r="AB47" s="1"/>
  <c r="AD45"/>
  <c r="AD47" s="1"/>
  <c r="AF45"/>
  <c r="AF47" s="1"/>
  <c r="AH45"/>
  <c r="AH47" s="1"/>
  <c r="AR45"/>
  <c r="AR47" s="1"/>
  <c r="AT45"/>
  <c r="AT47" s="1"/>
  <c r="AV45"/>
  <c r="AV47" s="1"/>
  <c r="AX45"/>
  <c r="AX47" s="1"/>
  <c r="AZ45"/>
  <c r="AZ47" s="1"/>
  <c r="BB45"/>
  <c r="BB47" s="1"/>
  <c r="BD45"/>
  <c r="BD47" s="1"/>
  <c r="Z48"/>
  <c r="Z50" s="1"/>
  <c r="AB48"/>
  <c r="AB50" s="1"/>
  <c r="AD48"/>
  <c r="AD50" s="1"/>
  <c r="AF48"/>
  <c r="AF50" s="1"/>
  <c r="AH48"/>
  <c r="AH50" s="1"/>
  <c r="AR48"/>
  <c r="AR50" s="1"/>
  <c r="AT48"/>
  <c r="AT50" s="1"/>
  <c r="AV48"/>
  <c r="AV50" s="1"/>
  <c r="AX48"/>
  <c r="AX50" s="1"/>
  <c r="AZ48"/>
  <c r="AZ50" s="1"/>
  <c r="BB48"/>
  <c r="BB50" s="1"/>
  <c r="BD48"/>
  <c r="BD50" s="1"/>
  <c r="Z24" l="1"/>
  <c r="BB24"/>
  <c r="AX24"/>
  <c r="AT24"/>
  <c r="AH24"/>
  <c r="AD24"/>
  <c r="AZ51"/>
  <c r="AR51"/>
  <c r="AH51"/>
  <c r="Z51"/>
  <c r="L24" i="23"/>
  <c r="L22"/>
  <c r="L23" s="1"/>
  <c r="J23"/>
  <c r="L19"/>
  <c r="L20" s="1"/>
  <c r="J20"/>
  <c r="Y13"/>
  <c r="U13"/>
  <c r="Q13"/>
  <c r="L10"/>
  <c r="L13" s="1"/>
  <c r="J13"/>
  <c r="BD21" i="18"/>
  <c r="AZ21"/>
  <c r="AV21"/>
  <c r="AR21"/>
  <c r="AN21"/>
  <c r="AJ21"/>
  <c r="AF21"/>
  <c r="AB21"/>
  <c r="T21"/>
  <c r="R21"/>
  <c r="P21"/>
  <c r="BE22"/>
  <c r="BE27" s="1"/>
  <c r="O27"/>
  <c r="U24" i="22"/>
  <c r="AX51"/>
  <c r="BD24"/>
  <c r="BD51" s="1"/>
  <c r="AZ24"/>
  <c r="AV24"/>
  <c r="AV51" s="1"/>
  <c r="AR24"/>
  <c r="AF24"/>
  <c r="AB24"/>
  <c r="BB51"/>
  <c r="AT51"/>
  <c r="AD51"/>
  <c r="AF51"/>
  <c r="Y17" i="23"/>
  <c r="U17"/>
  <c r="Q17"/>
  <c r="L15"/>
  <c r="L17" s="1"/>
  <c r="J17"/>
  <c r="W13"/>
  <c r="W30" s="1"/>
  <c r="S13"/>
  <c r="S30" s="1"/>
  <c r="O13"/>
  <c r="O30" s="1"/>
  <c r="BB21" i="18"/>
  <c r="AX21"/>
  <c r="AT21"/>
  <c r="AP21"/>
  <c r="AK21"/>
  <c r="AH21"/>
  <c r="AD21"/>
  <c r="Z21"/>
  <c r="S21"/>
  <c r="Q21"/>
  <c r="BE18"/>
  <c r="BE21" s="1"/>
  <c r="O21"/>
  <c r="BD27"/>
  <c r="AZ27"/>
  <c r="AV27"/>
  <c r="AR27"/>
  <c r="AN27"/>
  <c r="AJ27"/>
  <c r="AF27"/>
  <c r="AB27"/>
  <c r="T27"/>
  <c r="R27"/>
  <c r="P27"/>
  <c r="AP51" i="22"/>
  <c r="Z26" i="23"/>
  <c r="Z19"/>
  <c r="Z20" s="1"/>
  <c r="BE16" i="18"/>
  <c r="BF16" s="1"/>
  <c r="BG16" s="1"/>
  <c r="BH16" s="1"/>
  <c r="BI16" s="1"/>
  <c r="I51" i="22"/>
  <c r="W19"/>
  <c r="W45"/>
  <c r="W47" s="1"/>
  <c r="W11"/>
  <c r="W29"/>
  <c r="W20"/>
  <c r="I30" i="23"/>
  <c r="W25" i="22"/>
  <c r="Z24" i="23"/>
  <c r="Z10"/>
  <c r="BE30" i="18"/>
  <c r="BE31" s="1"/>
  <c r="I21"/>
  <c r="I17"/>
  <c r="I27"/>
  <c r="M26" i="23"/>
  <c r="AA26"/>
  <c r="AB26" s="1"/>
  <c r="AD26" s="1"/>
  <c r="AL49" i="22"/>
  <c r="W13"/>
  <c r="X13" s="1"/>
  <c r="W48"/>
  <c r="W50" s="1"/>
  <c r="AL35"/>
  <c r="AL31"/>
  <c r="AL48"/>
  <c r="U19" i="20"/>
  <c r="U20" s="1"/>
  <c r="AL28" i="22"/>
  <c r="AL25"/>
  <c r="AL16"/>
  <c r="AL13"/>
  <c r="AL26"/>
  <c r="AL22"/>
  <c r="AL21"/>
  <c r="AL20"/>
  <c r="AL17"/>
  <c r="AL15"/>
  <c r="AL14"/>
  <c r="AL11"/>
  <c r="AL45"/>
  <c r="AL47" s="1"/>
  <c r="AL29"/>
  <c r="AL19"/>
  <c r="X45"/>
  <c r="X47" s="1"/>
  <c r="M25" i="23"/>
  <c r="AA25"/>
  <c r="AG19" i="20"/>
  <c r="AG20" s="1"/>
  <c r="AL30" i="18"/>
  <c r="AL31" s="1"/>
  <c r="U30"/>
  <c r="U31" s="1"/>
  <c r="AL23"/>
  <c r="U23"/>
  <c r="AL22"/>
  <c r="AL27" s="1"/>
  <c r="U22"/>
  <c r="AL15"/>
  <c r="AL13"/>
  <c r="AL19"/>
  <c r="U15"/>
  <c r="U13"/>
  <c r="U19"/>
  <c r="AL14"/>
  <c r="AL20"/>
  <c r="AL18"/>
  <c r="U14"/>
  <c r="BF14" s="1"/>
  <c r="U20"/>
  <c r="U18"/>
  <c r="BE31" i="22"/>
  <c r="BE49"/>
  <c r="M12" i="23"/>
  <c r="M10"/>
  <c r="AA10"/>
  <c r="M16"/>
  <c r="M15"/>
  <c r="M17" s="1"/>
  <c r="M11"/>
  <c r="Z22"/>
  <c r="Z23" s="1"/>
  <c r="Z16"/>
  <c r="AA16" s="1"/>
  <c r="AB16" s="1"/>
  <c r="Z15"/>
  <c r="Z12"/>
  <c r="AA12" s="1"/>
  <c r="AB12" s="1"/>
  <c r="Z11"/>
  <c r="AL9" i="22"/>
  <c r="U9"/>
  <c r="AB25" i="23" l="1"/>
  <c r="AA29"/>
  <c r="AB51" i="22"/>
  <c r="BF18" i="18"/>
  <c r="U21"/>
  <c r="BF22"/>
  <c r="U27"/>
  <c r="Z13" i="23"/>
  <c r="X11" i="22"/>
  <c r="W24"/>
  <c r="J30" i="23"/>
  <c r="Q30"/>
  <c r="Y30"/>
  <c r="M24"/>
  <c r="U51" i="22"/>
  <c r="Z17" i="23"/>
  <c r="AA19"/>
  <c r="AA20" s="1"/>
  <c r="M13"/>
  <c r="M22"/>
  <c r="M23" s="1"/>
  <c r="AL21" i="18"/>
  <c r="X19" i="22"/>
  <c r="AL24"/>
  <c r="AL50"/>
  <c r="M19" i="23"/>
  <c r="M20" s="1"/>
  <c r="L30"/>
  <c r="U30"/>
  <c r="AD12"/>
  <c r="AC12"/>
  <c r="AD16"/>
  <c r="AC16"/>
  <c r="X48" i="22"/>
  <c r="X50" s="1"/>
  <c r="X29"/>
  <c r="X20"/>
  <c r="AH19" i="20"/>
  <c r="AH20" s="1"/>
  <c r="W19"/>
  <c r="W20" s="1"/>
  <c r="X25" i="22"/>
  <c r="BF31"/>
  <c r="BG31" s="1"/>
  <c r="BH31" s="1"/>
  <c r="AA24" i="23"/>
  <c r="I35" i="18"/>
  <c r="X19" i="20"/>
  <c r="X20" s="1"/>
  <c r="W22" i="18"/>
  <c r="W30"/>
  <c r="W31" s="1"/>
  <c r="BF30"/>
  <c r="BF31" s="1"/>
  <c r="W15"/>
  <c r="X15" s="1"/>
  <c r="BF15"/>
  <c r="BG15" s="1"/>
  <c r="BH15" s="1"/>
  <c r="BI15" s="1"/>
  <c r="W20"/>
  <c r="X20" s="1"/>
  <c r="BF20"/>
  <c r="BG20" s="1"/>
  <c r="BH20" s="1"/>
  <c r="BI20" s="1"/>
  <c r="W19"/>
  <c r="BF19"/>
  <c r="W13"/>
  <c r="X13" s="1"/>
  <c r="BF13"/>
  <c r="BG13" s="1"/>
  <c r="BH13" s="1"/>
  <c r="BI13" s="1"/>
  <c r="W23"/>
  <c r="BF23"/>
  <c r="BG22"/>
  <c r="BE34" i="22"/>
  <c r="BF34" s="1"/>
  <c r="W18" i="18"/>
  <c r="W14"/>
  <c r="X14" s="1"/>
  <c r="BG14"/>
  <c r="BH14" s="1"/>
  <c r="BI14" s="1"/>
  <c r="BG18"/>
  <c r="BF49" i="22"/>
  <c r="BE35"/>
  <c r="BF35" s="1"/>
  <c r="AB10" i="23"/>
  <c r="AA11"/>
  <c r="AB11" s="1"/>
  <c r="AA15"/>
  <c r="AA17" s="1"/>
  <c r="AB19"/>
  <c r="AA22"/>
  <c r="AA23" s="1"/>
  <c r="BE20" i="22"/>
  <c r="BE26"/>
  <c r="BE29"/>
  <c r="BF29" s="1"/>
  <c r="BE13"/>
  <c r="BE15"/>
  <c r="BF15" s="1"/>
  <c r="BF18" s="1"/>
  <c r="BE17"/>
  <c r="BF17" s="1"/>
  <c r="BE21"/>
  <c r="BF21" s="1"/>
  <c r="BE22"/>
  <c r="BF22" s="1"/>
  <c r="BE45"/>
  <c r="BE47" s="1"/>
  <c r="BE48"/>
  <c r="BE14"/>
  <c r="BF14" s="1"/>
  <c r="BE16"/>
  <c r="BF16" s="1"/>
  <c r="BE28"/>
  <c r="BF28" s="1"/>
  <c r="W9"/>
  <c r="BF9"/>
  <c r="BE19"/>
  <c r="AD25" i="23" l="1"/>
  <c r="AD29" s="1"/>
  <c r="AB29"/>
  <c r="AD19"/>
  <c r="AD20" s="1"/>
  <c r="AB20"/>
  <c r="BH18" i="18"/>
  <c r="X22"/>
  <c r="W27"/>
  <c r="M30" i="23"/>
  <c r="Z30"/>
  <c r="AA13"/>
  <c r="AA30" s="1"/>
  <c r="BE24" i="22"/>
  <c r="W51"/>
  <c r="BF48"/>
  <c r="BF50" s="1"/>
  <c r="BE50"/>
  <c r="AB13" i="23"/>
  <c r="X18" i="18"/>
  <c r="X21" s="1"/>
  <c r="W21"/>
  <c r="BH22"/>
  <c r="AB24" i="23"/>
  <c r="AL51" i="22"/>
  <c r="X24"/>
  <c r="BF27" i="18"/>
  <c r="BF21"/>
  <c r="AD11" i="23"/>
  <c r="AC11"/>
  <c r="AD10"/>
  <c r="AD13" s="1"/>
  <c r="AC10"/>
  <c r="AC13" s="1"/>
  <c r="AI19" i="20"/>
  <c r="AI20" s="1"/>
  <c r="BI31" i="22"/>
  <c r="BF13"/>
  <c r="BG13" s="1"/>
  <c r="BG19" i="18"/>
  <c r="BG21" s="1"/>
  <c r="BF26" i="22"/>
  <c r="BG26" s="1"/>
  <c r="BF20"/>
  <c r="X30" i="18"/>
  <c r="X31" s="1"/>
  <c r="BF25" i="22"/>
  <c r="X23" i="18"/>
  <c r="X19"/>
  <c r="BG23"/>
  <c r="BG27" s="1"/>
  <c r="BG30"/>
  <c r="BG31" s="1"/>
  <c r="BF45" i="22"/>
  <c r="BF47" s="1"/>
  <c r="BF19"/>
  <c r="BF24" s="1"/>
  <c r="BF11"/>
  <c r="BG49"/>
  <c r="BG34"/>
  <c r="BH34" s="1"/>
  <c r="BG28"/>
  <c r="BG16"/>
  <c r="BH16" s="1"/>
  <c r="BG14"/>
  <c r="BG35"/>
  <c r="BG29"/>
  <c r="BG48"/>
  <c r="BG50" s="1"/>
  <c r="BG22"/>
  <c r="BG21"/>
  <c r="BG17"/>
  <c r="BH17" s="1"/>
  <c r="BG15"/>
  <c r="BG18" s="1"/>
  <c r="BG20"/>
  <c r="AB22" i="23"/>
  <c r="AB15"/>
  <c r="AB17" s="1"/>
  <c r="X9" i="22"/>
  <c r="X51" s="1"/>
  <c r="AD22" i="23" l="1"/>
  <c r="AD23" s="1"/>
  <c r="AB23"/>
  <c r="AD30"/>
  <c r="AD24"/>
  <c r="BI22" i="18"/>
  <c r="X27"/>
  <c r="BI18"/>
  <c r="BF51" i="22"/>
  <c r="AB30" i="23"/>
  <c r="BE51" i="22"/>
  <c r="AD15" i="23"/>
  <c r="AD17" s="1"/>
  <c r="AC15"/>
  <c r="AC17" s="1"/>
  <c r="AC30" s="1"/>
  <c r="BI15" i="22"/>
  <c r="BI18" s="1"/>
  <c r="BH15"/>
  <c r="BH18" s="1"/>
  <c r="BI48"/>
  <c r="BH48"/>
  <c r="BI35"/>
  <c r="BH35"/>
  <c r="BI49"/>
  <c r="BH49"/>
  <c r="BI20"/>
  <c r="BH20"/>
  <c r="BI13"/>
  <c r="BH13"/>
  <c r="BI17"/>
  <c r="BI22"/>
  <c r="BH22"/>
  <c r="BI29"/>
  <c r="BH29"/>
  <c r="BI14"/>
  <c r="BH14"/>
  <c r="BI28"/>
  <c r="BH28"/>
  <c r="BI34"/>
  <c r="BI26"/>
  <c r="BH26"/>
  <c r="BI21"/>
  <c r="BH21"/>
  <c r="BI16"/>
  <c r="BH19" i="18"/>
  <c r="BI19" s="1"/>
  <c r="BG25" i="22"/>
  <c r="BH23" i="18"/>
  <c r="BH27" s="1"/>
  <c r="BH30"/>
  <c r="BH31" s="1"/>
  <c r="BG45" i="22"/>
  <c r="BG47" s="1"/>
  <c r="BG11"/>
  <c r="BG9"/>
  <c r="BG19"/>
  <c r="BG24" s="1"/>
  <c r="BG51" l="1"/>
  <c r="BH50"/>
  <c r="BI21" i="18"/>
  <c r="BI50" i="22"/>
  <c r="BH21" i="18"/>
  <c r="BI27"/>
  <c r="BI29" s="1"/>
  <c r="BH19" i="22"/>
  <c r="BH24" s="1"/>
  <c r="BI45"/>
  <c r="BI47" s="1"/>
  <c r="BH45"/>
  <c r="BH47" s="1"/>
  <c r="BI25"/>
  <c r="BH25"/>
  <c r="BI9"/>
  <c r="BH9"/>
  <c r="BI11"/>
  <c r="BH11"/>
  <c r="BI19"/>
  <c r="BI24" s="1"/>
  <c r="BI23" i="18"/>
  <c r="BI30"/>
  <c r="BI31" s="1"/>
  <c r="BH51" i="22" l="1"/>
  <c r="BI51"/>
  <c r="BC10" i="19"/>
  <c r="BC11" s="1"/>
  <c r="BA10"/>
  <c r="BA11" s="1"/>
  <c r="AY10"/>
  <c r="AY11" s="1"/>
  <c r="AW10"/>
  <c r="AW11" s="1"/>
  <c r="AU10"/>
  <c r="AU11" s="1"/>
  <c r="AS10"/>
  <c r="AS11" s="1"/>
  <c r="AQ10"/>
  <c r="AQ11" s="1"/>
  <c r="AO10"/>
  <c r="AO11" s="1"/>
  <c r="AM10"/>
  <c r="AM11" s="1"/>
  <c r="AI10"/>
  <c r="AI11" s="1"/>
  <c r="AG10"/>
  <c r="AG11" s="1"/>
  <c r="AE10"/>
  <c r="AE11" s="1"/>
  <c r="AC10"/>
  <c r="AC11" s="1"/>
  <c r="AA10"/>
  <c r="AA11" s="1"/>
  <c r="Y10"/>
  <c r="Y11" s="1"/>
  <c r="V10"/>
  <c r="V11" s="1"/>
  <c r="N10"/>
  <c r="N11" s="1"/>
  <c r="M10"/>
  <c r="M11" s="1"/>
  <c r="L10"/>
  <c r="L11" s="1"/>
  <c r="K10"/>
  <c r="K11" s="1"/>
  <c r="J10"/>
  <c r="J11" s="1"/>
  <c r="BD9"/>
  <c r="BD10" s="1"/>
  <c r="BD11" s="1"/>
  <c r="BB9"/>
  <c r="AZ9"/>
  <c r="AZ10" s="1"/>
  <c r="AZ11" s="1"/>
  <c r="AX9"/>
  <c r="AV9"/>
  <c r="AV10" s="1"/>
  <c r="AV11" s="1"/>
  <c r="AT9"/>
  <c r="AR9"/>
  <c r="AR10" s="1"/>
  <c r="AR11" s="1"/>
  <c r="AP9"/>
  <c r="AN9"/>
  <c r="AN10" s="1"/>
  <c r="AN11" s="1"/>
  <c r="AK9"/>
  <c r="AJ9"/>
  <c r="AJ10" s="1"/>
  <c r="AJ11" s="1"/>
  <c r="AH9"/>
  <c r="AF9"/>
  <c r="AF10" s="1"/>
  <c r="AF11" s="1"/>
  <c r="AD9"/>
  <c r="AB9"/>
  <c r="AB10" s="1"/>
  <c r="AB11" s="1"/>
  <c r="Z9"/>
  <c r="T10"/>
  <c r="T11" s="1"/>
  <c r="S9"/>
  <c r="R9"/>
  <c r="R10" s="1"/>
  <c r="R11" s="1"/>
  <c r="Q9"/>
  <c r="P9"/>
  <c r="P10" s="1"/>
  <c r="P11" s="1"/>
  <c r="O9"/>
  <c r="BE9" s="1"/>
  <c r="I10"/>
  <c r="I11" s="1"/>
  <c r="BD12" i="18"/>
  <c r="BB12"/>
  <c r="AZ12"/>
  <c r="AX12"/>
  <c r="AV12"/>
  <c r="AT12"/>
  <c r="AR12"/>
  <c r="AP12"/>
  <c r="AN12"/>
  <c r="AK12"/>
  <c r="AJ12"/>
  <c r="AH12"/>
  <c r="AF12"/>
  <c r="AD12"/>
  <c r="AB12"/>
  <c r="Z12"/>
  <c r="T12"/>
  <c r="R12"/>
  <c r="Q12"/>
  <c r="P12"/>
  <c r="O12"/>
  <c r="BE12" s="1"/>
  <c r="BD11"/>
  <c r="BD17" s="1"/>
  <c r="BB11"/>
  <c r="AZ11"/>
  <c r="AZ17" s="1"/>
  <c r="AX11"/>
  <c r="AV11"/>
  <c r="AV17" s="1"/>
  <c r="AT11"/>
  <c r="AR11"/>
  <c r="AR17" s="1"/>
  <c r="AP11"/>
  <c r="AN11"/>
  <c r="AN17" s="1"/>
  <c r="AK11"/>
  <c r="AJ11"/>
  <c r="AJ17" s="1"/>
  <c r="AH11"/>
  <c r="AF11"/>
  <c r="AF17" s="1"/>
  <c r="AD11"/>
  <c r="AB11"/>
  <c r="AB17" s="1"/>
  <c r="Z11"/>
  <c r="T11"/>
  <c r="T17" s="1"/>
  <c r="S11"/>
  <c r="Q11"/>
  <c r="Q17" s="1"/>
  <c r="P11"/>
  <c r="BD9"/>
  <c r="BD10" s="1"/>
  <c r="BD35" s="1"/>
  <c r="BB9"/>
  <c r="BB10" s="1"/>
  <c r="AZ9"/>
  <c r="AZ10" s="1"/>
  <c r="AZ35" s="1"/>
  <c r="AX9"/>
  <c r="AX10" s="1"/>
  <c r="AV9"/>
  <c r="AV10" s="1"/>
  <c r="AV35" s="1"/>
  <c r="AT9"/>
  <c r="AT10" s="1"/>
  <c r="AR9"/>
  <c r="AR10" s="1"/>
  <c r="AR35" s="1"/>
  <c r="AP9"/>
  <c r="AP10" s="1"/>
  <c r="AN9"/>
  <c r="AN10" s="1"/>
  <c r="AN35" s="1"/>
  <c r="AK9"/>
  <c r="AK10" s="1"/>
  <c r="AJ9"/>
  <c r="AJ10" s="1"/>
  <c r="AJ35" s="1"/>
  <c r="AH9"/>
  <c r="AH10" s="1"/>
  <c r="AF9"/>
  <c r="AF10" s="1"/>
  <c r="AF35" s="1"/>
  <c r="AD9"/>
  <c r="AD10" s="1"/>
  <c r="AB9"/>
  <c r="AB10" s="1"/>
  <c r="AB35" s="1"/>
  <c r="Z9"/>
  <c r="Z10" s="1"/>
  <c r="T9"/>
  <c r="T10" s="1"/>
  <c r="T35" s="1"/>
  <c r="S9"/>
  <c r="S10" s="1"/>
  <c r="Q9"/>
  <c r="Q10" s="1"/>
  <c r="Q35" s="1"/>
  <c r="P9"/>
  <c r="P10" s="1"/>
  <c r="O9"/>
  <c r="O10" s="1"/>
  <c r="P17" l="1"/>
  <c r="P35" s="1"/>
  <c r="Z17"/>
  <c r="Z35" s="1"/>
  <c r="AD17"/>
  <c r="AD35" s="1"/>
  <c r="AH17"/>
  <c r="AH35" s="1"/>
  <c r="AK17"/>
  <c r="AK35" s="1"/>
  <c r="AP17"/>
  <c r="AP35" s="1"/>
  <c r="AT17"/>
  <c r="AT35" s="1"/>
  <c r="AX17"/>
  <c r="AX35" s="1"/>
  <c r="BB17"/>
  <c r="BB35" s="1"/>
  <c r="BE9"/>
  <c r="BE10" s="1"/>
  <c r="O10" i="19"/>
  <c r="O11" s="1"/>
  <c r="Q10"/>
  <c r="Q11" s="1"/>
  <c r="S10"/>
  <c r="S11" s="1"/>
  <c r="Z10"/>
  <c r="Z11" s="1"/>
  <c r="AD10"/>
  <c r="AD11" s="1"/>
  <c r="AH10"/>
  <c r="AH11" s="1"/>
  <c r="AK10"/>
  <c r="AK11" s="1"/>
  <c r="AP10"/>
  <c r="AP11" s="1"/>
  <c r="AT10"/>
  <c r="AT11" s="1"/>
  <c r="AX10"/>
  <c r="AX11" s="1"/>
  <c r="BB10"/>
  <c r="BB11" s="1"/>
  <c r="AL12" i="18"/>
  <c r="U9" i="19"/>
  <c r="AL9"/>
  <c r="U9" i="18"/>
  <c r="U10" s="1"/>
  <c r="AL9"/>
  <c r="AL10" s="1"/>
  <c r="O11"/>
  <c r="O17" s="1"/>
  <c r="O35" s="1"/>
  <c r="AL11"/>
  <c r="AL17" s="1"/>
  <c r="S12"/>
  <c r="U12" s="1"/>
  <c r="BF12" s="1"/>
  <c r="R11"/>
  <c r="R17" s="1"/>
  <c r="R35" s="1"/>
  <c r="S17" l="1"/>
  <c r="S35" s="1"/>
  <c r="AL35"/>
  <c r="BF9"/>
  <c r="BF10" s="1"/>
  <c r="BE10" i="19"/>
  <c r="BE11" s="1"/>
  <c r="BF10"/>
  <c r="BF11" s="1"/>
  <c r="AL10"/>
  <c r="AL11" s="1"/>
  <c r="U10"/>
  <c r="U11" s="1"/>
  <c r="W9"/>
  <c r="W10" s="1"/>
  <c r="W11" s="1"/>
  <c r="U11" i="18"/>
  <c r="U17" s="1"/>
  <c r="U35" s="1"/>
  <c r="BG12"/>
  <c r="BH12" s="1"/>
  <c r="BI12" s="1"/>
  <c r="W12"/>
  <c r="X12" s="1"/>
  <c r="BE11"/>
  <c r="BE17" s="1"/>
  <c r="BE35" s="1"/>
  <c r="W9"/>
  <c r="W10" s="1"/>
  <c r="W35" l="1"/>
  <c r="BG9"/>
  <c r="BG10" s="1"/>
  <c r="X9"/>
  <c r="X10" s="1"/>
  <c r="BF11"/>
  <c r="BF17" s="1"/>
  <c r="BF35" s="1"/>
  <c r="W11"/>
  <c r="W17" s="1"/>
  <c r="BG9" i="19"/>
  <c r="X9"/>
  <c r="X10" s="1"/>
  <c r="X11" s="1"/>
  <c r="BH9" i="18"/>
  <c r="BI9" l="1"/>
  <c r="BI10" s="1"/>
  <c r="BH10"/>
  <c r="BG11"/>
  <c r="BG17" s="1"/>
  <c r="BG35" s="1"/>
  <c r="X11"/>
  <c r="X17" s="1"/>
  <c r="X35" s="1"/>
  <c r="BG10" i="19"/>
  <c r="BG11" s="1"/>
  <c r="BH9"/>
  <c r="BI9" s="1"/>
  <c r="BH11" i="18" l="1"/>
  <c r="BH17" s="1"/>
  <c r="BH35" s="1"/>
  <c r="BH10" i="19"/>
  <c r="BH11" s="1"/>
  <c r="BI10"/>
  <c r="BI11" s="1"/>
  <c r="BI11" i="18" l="1"/>
  <c r="BI17" s="1"/>
  <c r="BI35" s="1"/>
  <c r="E15" i="34"/>
  <c r="F15"/>
  <c r="G15"/>
</calcChain>
</file>

<file path=xl/sharedStrings.xml><?xml version="1.0" encoding="utf-8"?>
<sst xmlns="http://schemas.openxmlformats.org/spreadsheetml/2006/main" count="1397" uniqueCount="456">
  <si>
    <t>«Бекітемін»</t>
  </si>
  <si>
    <t>БЛЖ</t>
  </si>
  <si>
    <t xml:space="preserve">№№ </t>
  </si>
  <si>
    <t>Тегі, аты, әкесінің аты</t>
  </si>
  <si>
    <t>Жүргізетін пәні</t>
  </si>
  <si>
    <t>білімі</t>
  </si>
  <si>
    <t>санаты</t>
  </si>
  <si>
    <t>ПЕД. БІРЛІКТЕР</t>
  </si>
  <si>
    <t>АЙЛЫҚ ЕҢБЕК АҚЫ</t>
  </si>
  <si>
    <t>Айлық еңбек ақы, барлығы</t>
  </si>
  <si>
    <t>Жылдық еңбек ақы, барлығы</t>
  </si>
  <si>
    <t>Біліктілік санаты, разряды</t>
  </si>
  <si>
    <t>санаты бойынша</t>
  </si>
  <si>
    <t>мамандығы бойынша еңбек өтілі</t>
  </si>
  <si>
    <t>жалақы есептеу коэффициенті</t>
  </si>
  <si>
    <t>пед. бірліктер</t>
  </si>
  <si>
    <t>АПТАЛЫҚ ЖҮКТЕМЕ САҒАТЫ</t>
  </si>
  <si>
    <t xml:space="preserve">Дәптер мен жазбаша жұмыстарды тексергенi үшiн </t>
  </si>
  <si>
    <t>Сынып жетекшілігі үшін</t>
  </si>
  <si>
    <t>Жекелеген пәндердi тереңдетiп оқытқаны ушін</t>
  </si>
  <si>
    <t xml:space="preserve">Оқу кабинеттерiн меңгергенi үшін </t>
  </si>
  <si>
    <t>Қосымша төлемдердің жиынтық сомасы</t>
  </si>
  <si>
    <t>шағын орталық</t>
  </si>
  <si>
    <t>Предшкола</t>
  </si>
  <si>
    <t>1-4сын</t>
  </si>
  <si>
    <t>5-9сын</t>
  </si>
  <si>
    <t>10-11сын</t>
  </si>
  <si>
    <t>барлығы</t>
  </si>
  <si>
    <t>мұғалімдік еңбек ақы иынтығы</t>
  </si>
  <si>
    <t>пайыз</t>
  </si>
  <si>
    <t>Сомасы</t>
  </si>
  <si>
    <t>сағ саны</t>
  </si>
  <si>
    <t>1-4сын тіл</t>
  </si>
  <si>
    <t>5-9сын тіл</t>
  </si>
  <si>
    <t>10-11сын тіл</t>
  </si>
  <si>
    <t>5-9 сын</t>
  </si>
  <si>
    <t>сағ саны жиынтығы</t>
  </si>
  <si>
    <t>Жиынтық сома</t>
  </si>
  <si>
    <t>бірлік саны</t>
  </si>
  <si>
    <t>1-4 сын</t>
  </si>
  <si>
    <t>5-11 сын</t>
  </si>
  <si>
    <t>сағ. саны</t>
  </si>
  <si>
    <t>Жиынтығы:</t>
  </si>
  <si>
    <t xml:space="preserve"> </t>
  </si>
  <si>
    <t>Жанабергенова А.Х.</t>
  </si>
  <si>
    <t>Аға бухгалтер:</t>
  </si>
  <si>
    <t>Баймулдина Г.Б.</t>
  </si>
  <si>
    <t>Лауазым атауы</t>
  </si>
  <si>
    <t>Кәсіптік, біліктілік санаты, разряды</t>
  </si>
  <si>
    <t>Қызметтік айлықақы</t>
  </si>
  <si>
    <t>Мереке кундері үшін</t>
  </si>
  <si>
    <t>түнгі жұмыс үшін</t>
  </si>
  <si>
    <t>штаттық бірлік</t>
  </si>
  <si>
    <t>сомасы</t>
  </si>
  <si>
    <t>бірлік</t>
  </si>
  <si>
    <t>кун саны</t>
  </si>
  <si>
    <t>А блогы</t>
  </si>
  <si>
    <t>А блогы барлығы</t>
  </si>
  <si>
    <t>В блогы</t>
  </si>
  <si>
    <t>В блогы барлығы</t>
  </si>
  <si>
    <t>С блогы</t>
  </si>
  <si>
    <t>С блогы барлығы</t>
  </si>
  <si>
    <t>D блогы</t>
  </si>
  <si>
    <t>Жумысшылар барлығы</t>
  </si>
  <si>
    <t>Мектепке басшылық жасағаны үшін</t>
  </si>
  <si>
    <t xml:space="preserve">Оқулықтардың кiтапханалық қорымен жұмыс істегенi үшін </t>
  </si>
  <si>
    <t>ҚОСЫМША АҚЫЛАР МЕН ҮСТЕМЕАҚЫЛАР</t>
  </si>
  <si>
    <t>Ауылдық жердегі жұмысы үшін арттыру</t>
  </si>
  <si>
    <t>сағат саны</t>
  </si>
  <si>
    <t>бірінші (ілгері) деңгейдегі 100%</t>
  </si>
  <si>
    <t>екінші (негізгі) деңгейдегі 70%</t>
  </si>
  <si>
    <t>үшінші (базалық) деңгейдегі 30%</t>
  </si>
  <si>
    <t>Ерекше еңбек жағдайлары үшін үстемеақы 10%</t>
  </si>
  <si>
    <t>Сыныптық біліктілігі үшін</t>
  </si>
  <si>
    <t>%</t>
  </si>
  <si>
    <t>№</t>
  </si>
  <si>
    <t>кружки</t>
  </si>
  <si>
    <t>Всего</t>
  </si>
  <si>
    <t>Директор школы:</t>
  </si>
  <si>
    <t>Завуч школы:</t>
  </si>
  <si>
    <t>Ведомость на деление групп</t>
  </si>
  <si>
    <t>Класс</t>
  </si>
  <si>
    <t>кол-во уч-ся</t>
  </si>
  <si>
    <t>предмет</t>
  </si>
  <si>
    <t>Часов по плану</t>
  </si>
  <si>
    <t>Дополнительные часы на деление</t>
  </si>
  <si>
    <t>Итого (часов)</t>
  </si>
  <si>
    <t>Всего по школе</t>
  </si>
  <si>
    <t>кол-во часов</t>
  </si>
  <si>
    <t>факультативы</t>
  </si>
  <si>
    <t>Жұмысшылар              D блогы</t>
  </si>
  <si>
    <t>Өтемақы төлемдері</t>
  </si>
  <si>
    <t>25% қоса есептелгендегі еңбек ақы жиынтығы</t>
  </si>
  <si>
    <t>саны</t>
  </si>
  <si>
    <t>1-4 класс</t>
  </si>
  <si>
    <t xml:space="preserve">Мектеп директоры:  </t>
  </si>
  <si>
    <t xml:space="preserve">Оқу бөлімінің меңгерушісі: </t>
  </si>
  <si>
    <t xml:space="preserve">Бухгалтер: </t>
  </si>
  <si>
    <t>В2-1 жиынтығы:</t>
  </si>
  <si>
    <t>В2-2 жиынтығы:</t>
  </si>
  <si>
    <t>В2-3 жиынтығы:</t>
  </si>
  <si>
    <t>В2-4 жиынтығы:</t>
  </si>
  <si>
    <t>В4-4 жиынтығы:</t>
  </si>
  <si>
    <t>Барлығы</t>
  </si>
  <si>
    <t>Оқулықтардың кiтапханалық қорымен жұмыс істегенi үшін</t>
  </si>
  <si>
    <t xml:space="preserve">                </t>
  </si>
  <si>
    <t>Ф.И.О.</t>
  </si>
  <si>
    <t>Предмет</t>
  </si>
  <si>
    <t>ППШ</t>
  </si>
  <si>
    <t>1-4 кл</t>
  </si>
  <si>
    <t>5-9 кл</t>
  </si>
  <si>
    <t>итого</t>
  </si>
  <si>
    <t>Итого:</t>
  </si>
  <si>
    <t>1-4 кл.</t>
  </si>
  <si>
    <t>5-9 кл.</t>
  </si>
  <si>
    <t>10-11 кл обществ.гуманит</t>
  </si>
  <si>
    <t>10-11 кл естеств.матем</t>
  </si>
  <si>
    <t>всего</t>
  </si>
  <si>
    <t>Показатели на начало учебного года</t>
  </si>
  <si>
    <t>Число классов на 1 сентября</t>
  </si>
  <si>
    <t>Число комплектов на 1 сентября</t>
  </si>
  <si>
    <t>Число учащихся на 1 сентября</t>
  </si>
  <si>
    <t>Общее число часов преподавательской работы в неделю по тарификации, в т.ч.:</t>
  </si>
  <si>
    <t>а) число часов по уч.плану</t>
  </si>
  <si>
    <t>б) число дополнительных часов</t>
  </si>
  <si>
    <t>всего: вариативная(факультативы)</t>
  </si>
  <si>
    <t>из них: кружковая</t>
  </si>
  <si>
    <t>в связи с освобождением учителя от ведения уроков «Основы  растиниеводства»</t>
  </si>
  <si>
    <t>«Основы механизации»</t>
  </si>
  <si>
    <t>«Основы животноводства»</t>
  </si>
  <si>
    <t>В связи с делением классов на группы при проведении занятий</t>
  </si>
  <si>
    <r>
      <t xml:space="preserve">Русский язык </t>
    </r>
    <r>
      <rPr>
        <sz val="10"/>
        <color indexed="10"/>
        <rFont val="Arial Cyr"/>
        <charset val="204"/>
      </rPr>
      <t>(каз., уйгур., узбек., таджик. яз. обучения) 3-11кл</t>
    </r>
  </si>
  <si>
    <t>Информатика</t>
  </si>
  <si>
    <t>кол-во уч-ся в классах</t>
  </si>
  <si>
    <t>төлеуге жататын сағат саны</t>
  </si>
  <si>
    <t>Пасечник Н.Г.</t>
  </si>
  <si>
    <t>жаңартылған бағдарлама бойынша үстемеақы 30%</t>
  </si>
  <si>
    <t>жаңартылған бағдарлама бойынша үстемеақы 200%</t>
  </si>
  <si>
    <t>педагог-мастер 50%</t>
  </si>
  <si>
    <t>педагог-исследователь 40%</t>
  </si>
  <si>
    <t>педагог-эксперт 35%</t>
  </si>
  <si>
    <t>педагог-модератор 30%</t>
  </si>
  <si>
    <t>«Утверждаю»</t>
  </si>
  <si>
    <t>Миницентр</t>
  </si>
  <si>
    <r>
      <t xml:space="preserve">Казахский язык </t>
    </r>
    <r>
      <rPr>
        <sz val="10"/>
        <color indexed="10"/>
        <rFont val="Arial Cyr"/>
        <charset val="204"/>
      </rPr>
      <t>(рус., уйгур., узбек., таджик. яз. обучения) 1-11 кл</t>
    </r>
  </si>
  <si>
    <t>Хусаинова Г.А.</t>
  </si>
  <si>
    <t>Медеу С.А.</t>
  </si>
  <si>
    <t>Борщ Л.В.</t>
  </si>
  <si>
    <t>Бережная Л.И</t>
  </si>
  <si>
    <t xml:space="preserve">Мектеп директоры: </t>
  </si>
  <si>
    <t>б/к</t>
  </si>
  <si>
    <t>В4-3</t>
  </si>
  <si>
    <t>ср.сп</t>
  </si>
  <si>
    <t xml:space="preserve">б/к </t>
  </si>
  <si>
    <t>В4-4</t>
  </si>
  <si>
    <t>самопознание</t>
  </si>
  <si>
    <t xml:space="preserve">Сейтенова Назым Капановна </t>
  </si>
  <si>
    <t>В4-3 жиынтығы:</t>
  </si>
  <si>
    <t>Кожахметова Саулеш Акбузауовна</t>
  </si>
  <si>
    <t>В4-2 жиынтығы:</t>
  </si>
  <si>
    <t>В4-2</t>
  </si>
  <si>
    <t>В2-4</t>
  </si>
  <si>
    <t>высшее</t>
  </si>
  <si>
    <t>высш</t>
  </si>
  <si>
    <t xml:space="preserve">Буранбаева Жанаркуль Жумахметовна             </t>
  </si>
  <si>
    <t xml:space="preserve">Кунтаева Гульдана Сериковна            </t>
  </si>
  <si>
    <t>выс ш</t>
  </si>
  <si>
    <t>физика</t>
  </si>
  <si>
    <t>Мукишова Гульжан Мирашовна</t>
  </si>
  <si>
    <t xml:space="preserve">анг </t>
  </si>
  <si>
    <t>Молдажанова Назира Муслимовна</t>
  </si>
  <si>
    <t>Ниязова Майра Сапаралиевна</t>
  </si>
  <si>
    <t>физкультура</t>
  </si>
  <si>
    <t>Аманжолова Манзирка Кукуновна</t>
  </si>
  <si>
    <t>В2-3</t>
  </si>
  <si>
    <t>каз язык лит</t>
  </si>
  <si>
    <t>Мухамедшарипов Казбек Серикович</t>
  </si>
  <si>
    <t>технология</t>
  </si>
  <si>
    <t xml:space="preserve"> ист общ религов </t>
  </si>
  <si>
    <t>Балташев Досан Асгатович</t>
  </si>
  <si>
    <t>Карымсакова Гульмира Маговиевна</t>
  </si>
  <si>
    <t>В2-2</t>
  </si>
  <si>
    <t>информатика математика</t>
  </si>
  <si>
    <t>Ахай Саягуль</t>
  </si>
  <si>
    <t>Смаилова Сауле Айтановна</t>
  </si>
  <si>
    <t>Утепбергенова Гульнар Каниевна</t>
  </si>
  <si>
    <t xml:space="preserve">математика  </t>
  </si>
  <si>
    <t xml:space="preserve"> физика информатика </t>
  </si>
  <si>
    <t>Борщ Лена Васильевна</t>
  </si>
  <si>
    <t>В2-1</t>
  </si>
  <si>
    <t>музыка</t>
  </si>
  <si>
    <t>химия</t>
  </si>
  <si>
    <t>Хусаинова Гульнар Алтабаевна</t>
  </si>
  <si>
    <t>,</t>
  </si>
  <si>
    <t>среднее</t>
  </si>
  <si>
    <t>р2</t>
  </si>
  <si>
    <t>сторож</t>
  </si>
  <si>
    <t>Ибикеев Марат</t>
  </si>
  <si>
    <t>Ибикеева Гульсум</t>
  </si>
  <si>
    <t>спеднее</t>
  </si>
  <si>
    <t>техничка</t>
  </si>
  <si>
    <t>Жикишева Карлыгаш Каирбековна</t>
  </si>
  <si>
    <t>D</t>
  </si>
  <si>
    <t>делопроизводитель</t>
  </si>
  <si>
    <t>С-3</t>
  </si>
  <si>
    <t>завхоз</t>
  </si>
  <si>
    <t>В-3-4</t>
  </si>
  <si>
    <t>старшая вожатая</t>
  </si>
  <si>
    <t>педагог-психолог</t>
  </si>
  <si>
    <t>Буранбаева Жанаркул Жумахметовна</t>
  </si>
  <si>
    <t>А-1-4</t>
  </si>
  <si>
    <t>зам.директора по ВР</t>
  </si>
  <si>
    <t>зам.директора по УВР</t>
  </si>
  <si>
    <t>А-1-3-1</t>
  </si>
  <si>
    <t>директор</t>
  </si>
  <si>
    <t>Хусаинова Гунара Алтабаевна</t>
  </si>
  <si>
    <t>Оқу бөлімінің меңгерушісі:</t>
  </si>
  <si>
    <t>Мектеп директоры:</t>
  </si>
  <si>
    <t>Утепбергенова Г.К.</t>
  </si>
  <si>
    <t>3 "Ә" класс</t>
  </si>
  <si>
    <t>Смаилова С.А.</t>
  </si>
  <si>
    <t>2 "Ә" класс</t>
  </si>
  <si>
    <t>предшкола</t>
  </si>
  <si>
    <t>каз.яз</t>
  </si>
  <si>
    <t>Ниязова М.С.</t>
  </si>
  <si>
    <t>англ. язык</t>
  </si>
  <si>
    <t>Мухамедшарипов К.С.</t>
  </si>
  <si>
    <t>каз.литература</t>
  </si>
  <si>
    <t>казахский язык</t>
  </si>
  <si>
    <t xml:space="preserve">Биология                                                                                                                                                                                                                                                       </t>
  </si>
  <si>
    <t>география</t>
  </si>
  <si>
    <t>Мукишова Г.М.</t>
  </si>
  <si>
    <t>Молдажанова Н.М.</t>
  </si>
  <si>
    <t>рус.лит-ра</t>
  </si>
  <si>
    <t>рус.язык</t>
  </si>
  <si>
    <t xml:space="preserve">Кунтаева Г.С. </t>
  </si>
  <si>
    <t>Кожахметова С.А.</t>
  </si>
  <si>
    <t>Карымсакова Г.М.</t>
  </si>
  <si>
    <t>Буранбаева Ж.Ж.</t>
  </si>
  <si>
    <t>Обществозн.</t>
  </si>
  <si>
    <t>история</t>
  </si>
  <si>
    <t>каз лит-ра</t>
  </si>
  <si>
    <t xml:space="preserve">каз яз </t>
  </si>
  <si>
    <t xml:space="preserve">религоведение </t>
  </si>
  <si>
    <t>Балташев Д.А.</t>
  </si>
  <si>
    <t>информатика</t>
  </si>
  <si>
    <t>математика</t>
  </si>
  <si>
    <t>Аманжолова М.К.</t>
  </si>
  <si>
    <t>9а</t>
  </si>
  <si>
    <t>8а</t>
  </si>
  <si>
    <t>9ә</t>
  </si>
  <si>
    <t>8ә</t>
  </si>
  <si>
    <t>5ә</t>
  </si>
  <si>
    <t>4а</t>
  </si>
  <si>
    <t>3а</t>
  </si>
  <si>
    <t>2а</t>
  </si>
  <si>
    <t>1а</t>
  </si>
  <si>
    <t>4ә</t>
  </si>
  <si>
    <t>3ә</t>
  </si>
  <si>
    <t>2ә</t>
  </si>
  <si>
    <t>1ә</t>
  </si>
  <si>
    <t>5а</t>
  </si>
  <si>
    <t>5Ә</t>
  </si>
  <si>
    <t>6ә</t>
  </si>
  <si>
    <t>учебный план</t>
  </si>
  <si>
    <t>анг.язык</t>
  </si>
  <si>
    <t>каз.яз лит-ра</t>
  </si>
  <si>
    <t>рус.яз.лит-ра</t>
  </si>
  <si>
    <t>Кунтаева Г.С.</t>
  </si>
  <si>
    <t>биология</t>
  </si>
  <si>
    <t>каз яз, лит-ра</t>
  </si>
  <si>
    <t>Ведомость проверки тетрадей.</t>
  </si>
  <si>
    <t>религиоведение</t>
  </si>
  <si>
    <t>Абай тану</t>
  </si>
  <si>
    <t>английский язык</t>
  </si>
  <si>
    <t>занимательная математика</t>
  </si>
  <si>
    <t>Ведомость распределение допольнительных часов</t>
  </si>
  <si>
    <t>Бакетаева Ж.Ж.</t>
  </si>
  <si>
    <t>Төрехан М.Б.</t>
  </si>
  <si>
    <t>Сейтен Н.К.</t>
  </si>
  <si>
    <t>Шухитова А.О.</t>
  </si>
  <si>
    <t>1 "Ә" класс</t>
  </si>
  <si>
    <t>русский язык</t>
  </si>
  <si>
    <t>Төрехан Мадина Бауыржанқызы</t>
  </si>
  <si>
    <t xml:space="preserve">  рус.язык лит</t>
  </si>
  <si>
    <t>вакансия</t>
  </si>
  <si>
    <t>Борш Л.В.</t>
  </si>
  <si>
    <t>Шухитова Айнур Омаровна</t>
  </si>
  <si>
    <t>2 А класс</t>
  </si>
  <si>
    <t>Бакетаева Жанна Жаксылыковна</t>
  </si>
  <si>
    <t>В4-3жиынтығы:</t>
  </si>
  <si>
    <t>Голубая планета</t>
  </si>
  <si>
    <t>В3-4 жиынтығы:</t>
  </si>
  <si>
    <t>технология, самопознание</t>
  </si>
  <si>
    <t>геогр биолог , самопознание</t>
  </si>
  <si>
    <t>Зав.РМК</t>
  </si>
  <si>
    <t>Мамбетов Т.Ж</t>
  </si>
  <si>
    <t>анг.яз</t>
  </si>
  <si>
    <t>педагог -модератор</t>
  </si>
  <si>
    <t xml:space="preserve"> казахский язык литература</t>
  </si>
  <si>
    <t xml:space="preserve">геогр   </t>
  </si>
  <si>
    <t xml:space="preserve">Мектеп директоры:                                       </t>
  </si>
  <si>
    <t>10-11 сын</t>
  </si>
  <si>
    <t>10-11 сын тіл</t>
  </si>
  <si>
    <t>5-9 сын тіл</t>
  </si>
  <si>
    <t>1-4 сын тіл</t>
  </si>
  <si>
    <t>Балташев Досан Асгатович вакансия</t>
  </si>
  <si>
    <t>4 а класс</t>
  </si>
  <si>
    <t>Сексентай Төлеубек Сексентайұлы</t>
  </si>
  <si>
    <t>Орақбаев Бексұлтан Байғалиұлы</t>
  </si>
  <si>
    <t xml:space="preserve">      каз. язык , рус.яз лит-ра</t>
  </si>
  <si>
    <t>Английский язык 1-11кл</t>
  </si>
  <si>
    <t>Технология 5-9 кл</t>
  </si>
  <si>
    <t>Физкультура 5-9кл</t>
  </si>
  <si>
    <t>Экономист РОО:                         Акылбаев Б.К.</t>
  </si>
  <si>
    <t>7ә</t>
  </si>
  <si>
    <t>география (в)</t>
  </si>
  <si>
    <t>Сексентай Т.С.</t>
  </si>
  <si>
    <t>Орақбаев Б.Б.</t>
  </si>
  <si>
    <t>рус. Язык</t>
  </si>
  <si>
    <t xml:space="preserve">физика </t>
  </si>
  <si>
    <t>Балбұлақ</t>
  </si>
  <si>
    <t>Каламгер</t>
  </si>
  <si>
    <t>Есептеу дағдыларының негіздері</t>
  </si>
  <si>
    <t>Табиғат және орта</t>
  </si>
  <si>
    <t>Қоршаған орта</t>
  </si>
  <si>
    <t>сөз шебері</t>
  </si>
  <si>
    <t>Мені коршаған әлем</t>
  </si>
  <si>
    <t>шашки</t>
  </si>
  <si>
    <t>Моделирование</t>
  </si>
  <si>
    <t>Основы логики</t>
  </si>
  <si>
    <t>Школа математики</t>
  </si>
  <si>
    <t>Математическая шкатулка</t>
  </si>
  <si>
    <t>өлкентану</t>
  </si>
  <si>
    <t>Математикалық логикалық есептер</t>
  </si>
  <si>
    <t>Математикалық зерттеулер</t>
  </si>
  <si>
    <t>Cjmputer basics and programming fundamentals</t>
  </si>
  <si>
    <t>Iwanttoknow</t>
  </si>
  <si>
    <t>дінтану</t>
  </si>
  <si>
    <t>Engiish grammar</t>
  </si>
  <si>
    <t>Логика в играх и задачах</t>
  </si>
  <si>
    <t>математика учит рассуждать</t>
  </si>
  <si>
    <t>каз.яз ,рус.яз</t>
  </si>
  <si>
    <t>ср сп</t>
  </si>
  <si>
    <t>Галя А.Ю.</t>
  </si>
  <si>
    <t>Акылбаев Б.К</t>
  </si>
  <si>
    <t xml:space="preserve"> экономистың.:</t>
  </si>
  <si>
    <t>В-2-3</t>
  </si>
  <si>
    <t>Акылбаев Б. К.</t>
  </si>
  <si>
    <t xml:space="preserve"> экономистың .:</t>
  </si>
  <si>
    <t>каз яз и литра</t>
  </si>
  <si>
    <t>физра</t>
  </si>
  <si>
    <t xml:space="preserve">Шухитова Айнур Омаровна </t>
  </si>
  <si>
    <t>Бакетаева Жанна Жаксылыковына</t>
  </si>
  <si>
    <t>4класс</t>
  </si>
  <si>
    <t xml:space="preserve">Галя А Ю </t>
  </si>
  <si>
    <t>Акылбаев БК</t>
  </si>
  <si>
    <t>Акылбаев  Б.К.</t>
  </si>
  <si>
    <t xml:space="preserve"> экономистың :</t>
  </si>
  <si>
    <t>пед-эксперт</t>
  </si>
  <si>
    <t>нач кл</t>
  </si>
  <si>
    <t>ср спец</t>
  </si>
  <si>
    <t>Акылбаев Б.К.</t>
  </si>
  <si>
    <t>Галя  А.Ю.</t>
  </si>
  <si>
    <t>Жанабергенова А.К</t>
  </si>
  <si>
    <t>Галя А.Ю</t>
  </si>
  <si>
    <t>Зав.РМЦ:</t>
  </si>
  <si>
    <t xml:space="preserve">          </t>
  </si>
  <si>
    <t>Баймулдина Г.Б</t>
  </si>
  <si>
    <t xml:space="preserve">Хусаинова Г.А </t>
  </si>
  <si>
    <t xml:space="preserve">Борщ Л.В </t>
  </si>
  <si>
    <t>Акылбаев Б</t>
  </si>
  <si>
    <t xml:space="preserve"> экономист:</t>
  </si>
  <si>
    <t>5-9 классы</t>
  </si>
  <si>
    <t>Жанабергенова А.К.</t>
  </si>
  <si>
    <t xml:space="preserve">"Аршалы ауданы білім бөлімі" ММ-нің басшысы м.а:_____________ Балташев А.К  </t>
  </si>
  <si>
    <t>Кадрлер бөлімінің әдіскері:</t>
  </si>
  <si>
    <t>"_01_"_01________2020ж.</t>
  </si>
  <si>
    <t>Конарбаева Даметкен Омирзаковна</t>
  </si>
  <si>
    <t>в2-4</t>
  </si>
  <si>
    <t>Мағау Айгуль</t>
  </si>
  <si>
    <t>3 класс</t>
  </si>
  <si>
    <t>1-2 класс</t>
  </si>
  <si>
    <t>2 класс, технология</t>
  </si>
  <si>
    <t>Мартын ОМ-нің 01.01.2020жылға еңбекақыны тарифтеуі IT</t>
  </si>
  <si>
    <t>русский язык и литература</t>
  </si>
  <si>
    <t>6а</t>
  </si>
  <si>
    <t>Конорбаева Д.О.</t>
  </si>
  <si>
    <t>Муминова А.Р.</t>
  </si>
  <si>
    <t>1 "А"класс</t>
  </si>
  <si>
    <t>4 "А" класс</t>
  </si>
  <si>
    <t>3 "а" класс</t>
  </si>
  <si>
    <t>4"Ә" класс</t>
  </si>
  <si>
    <t>Сейткарим  А. С.</t>
  </si>
  <si>
    <t>Журкин Е.Б.</t>
  </si>
  <si>
    <t>Курманова Д.С.</t>
  </si>
  <si>
    <t>Абжамиева Ж.Ж.</t>
  </si>
  <si>
    <t>Әбдіқұл Ж.Б.</t>
  </si>
  <si>
    <t>Жабайханова К.А.</t>
  </si>
  <si>
    <t>2а класс</t>
  </si>
  <si>
    <t>01.09.2020ж</t>
  </si>
  <si>
    <t xml:space="preserve">и.о.Руководитель отдела образования: _____________Молдахметов М.Р.                                          </t>
  </si>
  <si>
    <t>7-8а</t>
  </si>
  <si>
    <t>7(5)</t>
  </si>
  <si>
    <t>Компьютерлік графика және мультимедиа</t>
  </si>
  <si>
    <t>Тоғызқұмалақ</t>
  </si>
  <si>
    <t>Решение логических задач</t>
  </si>
  <si>
    <t>Шахматы и шашки</t>
  </si>
  <si>
    <t>2Ә</t>
  </si>
  <si>
    <t>Ведомость распределения часовой нагрузки на 2020-2021 учебный год</t>
  </si>
  <si>
    <t>01.09.2020г.</t>
  </si>
  <si>
    <t>"Аршалы ауданы білім бөлімі" ММ-нің басшысы м.а:_____________ Молдахметов М.Р.</t>
  </si>
  <si>
    <t>"_01_"_09________2020ж.</t>
  </si>
  <si>
    <t>Повышение 25%</t>
  </si>
  <si>
    <t>4 Ә класс</t>
  </si>
  <si>
    <t>3  А класс</t>
  </si>
  <si>
    <t>1 а класс</t>
  </si>
  <si>
    <t>Муминова Айнур Рустамовна</t>
  </si>
  <si>
    <t>Әбдіқұл Жомарт Байболұлы</t>
  </si>
  <si>
    <t>Журкин ЕркенБалтабаевич</t>
  </si>
  <si>
    <t>Сейткарим Айимболат Сейткаримұлы</t>
  </si>
  <si>
    <t>Курманова Дария Сайлауовна</t>
  </si>
  <si>
    <t>предшколаа</t>
  </si>
  <si>
    <t>Абжамиева Жанар жетесовна</t>
  </si>
  <si>
    <t>2Әкласс</t>
  </si>
  <si>
    <t xml:space="preserve">3 ә класс, </t>
  </si>
  <si>
    <t>4 А класс</t>
  </si>
  <si>
    <t>1 ә класс</t>
  </si>
  <si>
    <t>выс</t>
  </si>
  <si>
    <t>Жабайханова Карина Аскаровна</t>
  </si>
  <si>
    <t>2 а класс</t>
  </si>
  <si>
    <t>В3-4</t>
  </si>
  <si>
    <t>Конорбаева Даметкен Омирзаковна</t>
  </si>
  <si>
    <t>до 1</t>
  </si>
  <si>
    <t>Ерматова Фарида Куандыковна</t>
  </si>
  <si>
    <t xml:space="preserve">"Аршалы ауданы білім бөлімі" ММ-нің  басшысы м.а:_____________Молдахметов М.Р. </t>
  </si>
  <si>
    <t>«___01__»__09_________2020ж.</t>
  </si>
  <si>
    <t>"Аршалы ауданы білім бөлімі" ММ-нің басшысы м.а:_____________  Молдахметов М.Р.</t>
  </si>
  <si>
    <t>"Аршалы ауданы білім бөлімі" ММ-нің басшысы м.а:_____________Молдахметов М.Р.</t>
  </si>
  <si>
    <t xml:space="preserve">Жалтыркөл НМ  01.09.2020жылға еңбекақыны тарифтеуі </t>
  </si>
  <si>
    <t>Жалтыркөл  НМ 01.09.2020 жылға еңбекақыны тарифтеуі 30 %</t>
  </si>
  <si>
    <t xml:space="preserve">       Жалтыркөл НМ-нің 01.09.2020 жылға еңбекақыны тарифтеуі</t>
  </si>
  <si>
    <t>Жалтыркөл НМ-нің 01.09.2020жылға еңбекақыны тарифтеуі</t>
  </si>
  <si>
    <t>Жалтыркольская ОШ</t>
  </si>
  <si>
    <t>наименование школы  Жалтыркольская ОШ</t>
  </si>
  <si>
    <t>Жалтыркөл НМ</t>
  </si>
  <si>
    <t>Жалтыркольская ОШ  на 01.09.2020г.</t>
  </si>
  <si>
    <t>Жалтыркөл НМ 01.09.2020жылға еңбекақыны тарифтеуі</t>
  </si>
  <si>
    <t>В2-4жиынтығы:</t>
  </si>
  <si>
    <t>Жалтыркөл НМ 01.09.2020 жылға еңбекақыны тарифтеуі 30 %</t>
  </si>
  <si>
    <r>
      <t xml:space="preserve">физкультура </t>
    </r>
    <r>
      <rPr>
        <b/>
        <sz val="12"/>
        <rFont val="Arial Cyr"/>
        <charset val="204"/>
      </rPr>
      <t>вакансия</t>
    </r>
  </si>
  <si>
    <r>
      <t xml:space="preserve">география </t>
    </r>
    <r>
      <rPr>
        <b/>
        <sz val="12"/>
        <rFont val="Arial Cyr"/>
        <charset val="204"/>
      </rPr>
      <t>вакансия</t>
    </r>
  </si>
  <si>
    <t>2Әкласс САМОЗНАНИЕ</t>
  </si>
  <si>
    <t>ВАКАНСИЯ</t>
  </si>
  <si>
    <t>ВАХТЕР</t>
  </si>
  <si>
    <t>Р2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</si>
</sst>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42"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b/>
      <sz val="12"/>
      <name val="Arial Cyr"/>
      <family val="2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sz val="14"/>
      <color indexed="8"/>
      <name val="Arial Cyr"/>
      <charset val="204"/>
    </font>
    <font>
      <sz val="11"/>
      <name val="Arial Cyr"/>
      <charset val="204"/>
    </font>
    <font>
      <sz val="11"/>
      <name val="Arial Cyr"/>
      <family val="2"/>
      <charset val="204"/>
    </font>
    <font>
      <sz val="10"/>
      <name val="Arial Cyr"/>
      <charset val="204"/>
    </font>
    <font>
      <sz val="10"/>
      <color indexed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u/>
      <sz val="11"/>
      <name val="Arial"/>
      <family val="2"/>
      <charset val="204"/>
    </font>
    <font>
      <u/>
      <sz val="1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Arial Cyr"/>
      <charset val="204"/>
    </font>
    <font>
      <sz val="12"/>
      <color theme="1"/>
      <name val="Arial Cyr"/>
      <family val="2"/>
      <charset val="204"/>
    </font>
    <font>
      <sz val="12"/>
      <color theme="1"/>
      <name val="Arial Cyr"/>
      <charset val="204"/>
    </font>
    <font>
      <sz val="12"/>
      <color theme="1"/>
      <name val="Arial"/>
      <family val="2"/>
      <charset val="204"/>
    </font>
    <font>
      <b/>
      <sz val="12"/>
      <color theme="1"/>
      <name val="Arial Cyr"/>
      <charset val="204"/>
    </font>
    <font>
      <sz val="12"/>
      <name val="Arial Cyr"/>
      <family val="3"/>
      <charset val="204"/>
    </font>
    <font>
      <b/>
      <sz val="14"/>
      <color indexed="8"/>
      <name val="Arial Cyr"/>
      <charset val="204"/>
    </font>
    <font>
      <b/>
      <sz val="16"/>
      <name val="Arial Cyr"/>
      <charset val="204"/>
    </font>
    <font>
      <sz val="14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164" fontId="1" fillId="0" borderId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" fillId="0" borderId="0"/>
  </cellStyleXfs>
  <cellXfs count="747">
    <xf numFmtId="0" fontId="0" fillId="0" borderId="0" xfId="0"/>
    <xf numFmtId="0" fontId="2" fillId="0" borderId="0" xfId="0" applyFont="1" applyFill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2" fillId="0" borderId="2" xfId="1" applyFont="1" applyFill="1" applyBorder="1" applyAlignment="1" applyProtection="1">
      <alignment wrapText="1"/>
    </xf>
    <xf numFmtId="0" fontId="5" fillId="0" borderId="2" xfId="0" applyFont="1" applyFill="1" applyBorder="1" applyAlignment="1" applyProtection="1">
      <alignment horizontal="left" wrapText="1"/>
    </xf>
    <xf numFmtId="0" fontId="2" fillId="0" borderId="2" xfId="0" applyNumberFormat="1" applyFont="1" applyFill="1" applyBorder="1" applyAlignment="1" applyProtection="1">
      <alignment wrapText="1"/>
    </xf>
    <xf numFmtId="0" fontId="4" fillId="0" borderId="2" xfId="0" applyFont="1" applyFill="1" applyBorder="1" applyAlignment="1" applyProtection="1">
      <alignment wrapText="1"/>
    </xf>
    <xf numFmtId="2" fontId="2" fillId="0" borderId="2" xfId="0" applyNumberFormat="1" applyFont="1" applyFill="1" applyBorder="1" applyAlignment="1" applyProtection="1">
      <alignment wrapText="1"/>
    </xf>
    <xf numFmtId="0" fontId="2" fillId="0" borderId="2" xfId="0" applyFont="1" applyFill="1" applyBorder="1" applyAlignment="1" applyProtection="1">
      <alignment wrapText="1"/>
    </xf>
    <xf numFmtId="0" fontId="3" fillId="0" borderId="2" xfId="0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2" fillId="0" borderId="0" xfId="0" applyFont="1" applyFill="1" applyAlignment="1" applyProtection="1">
      <protection locked="0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/>
    <xf numFmtId="0" fontId="8" fillId="0" borderId="1" xfId="0" applyFont="1" applyFill="1" applyBorder="1" applyAlignment="1">
      <alignment wrapText="1"/>
    </xf>
    <xf numFmtId="9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wrapText="1"/>
    </xf>
    <xf numFmtId="0" fontId="11" fillId="0" borderId="0" xfId="0" applyFont="1"/>
    <xf numFmtId="0" fontId="8" fillId="0" borderId="2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wrapText="1"/>
    </xf>
    <xf numFmtId="2" fontId="8" fillId="0" borderId="2" xfId="0" applyNumberFormat="1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8" fillId="0" borderId="5" xfId="0" applyFont="1" applyFill="1" applyBorder="1" applyAlignment="1">
      <alignment vertical="center" wrapText="1"/>
    </xf>
    <xf numFmtId="0" fontId="8" fillId="0" borderId="2" xfId="0" applyFont="1" applyFill="1" applyBorder="1" applyAlignment="1"/>
    <xf numFmtId="0" fontId="9" fillId="0" borderId="2" xfId="0" applyFont="1" applyFill="1" applyBorder="1" applyAlignment="1">
      <alignment horizontal="center"/>
    </xf>
    <xf numFmtId="0" fontId="9" fillId="0" borderId="2" xfId="0" applyNumberFormat="1" applyFont="1" applyFill="1" applyBorder="1" applyAlignment="1"/>
    <xf numFmtId="0" fontId="12" fillId="0" borderId="0" xfId="0" applyFont="1" applyFill="1" applyAlignment="1" applyProtection="1">
      <protection locked="0"/>
    </xf>
    <xf numFmtId="0" fontId="12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9" fillId="0" borderId="0" xfId="0" applyFont="1" applyAlignment="1" applyProtection="1">
      <protection locked="0"/>
    </xf>
    <xf numFmtId="0" fontId="12" fillId="0" borderId="0" xfId="0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0" fontId="2" fillId="0" borderId="6" xfId="1" applyFont="1" applyFill="1" applyBorder="1" applyAlignment="1" applyProtection="1">
      <alignment wrapText="1"/>
    </xf>
    <xf numFmtId="0" fontId="2" fillId="0" borderId="6" xfId="0" applyNumberFormat="1" applyFont="1" applyFill="1" applyBorder="1" applyAlignment="1" applyProtection="1">
      <alignment wrapText="1"/>
    </xf>
    <xf numFmtId="0" fontId="4" fillId="0" borderId="6" xfId="0" applyFont="1" applyFill="1" applyBorder="1" applyAlignment="1" applyProtection="1">
      <alignment wrapText="1"/>
    </xf>
    <xf numFmtId="1" fontId="2" fillId="0" borderId="6" xfId="0" applyNumberFormat="1" applyFont="1" applyFill="1" applyBorder="1" applyAlignment="1" applyProtection="1">
      <alignment wrapText="1"/>
    </xf>
    <xf numFmtId="0" fontId="4" fillId="0" borderId="6" xfId="0" applyFont="1" applyFill="1" applyBorder="1" applyProtection="1"/>
    <xf numFmtId="2" fontId="2" fillId="0" borderId="6" xfId="0" applyNumberFormat="1" applyFont="1" applyFill="1" applyBorder="1" applyAlignment="1" applyProtection="1">
      <alignment wrapText="1"/>
    </xf>
    <xf numFmtId="0" fontId="2" fillId="0" borderId="6" xfId="0" applyFont="1" applyFill="1" applyBorder="1" applyAlignment="1" applyProtection="1">
      <alignment wrapText="1"/>
    </xf>
    <xf numFmtId="0" fontId="2" fillId="2" borderId="0" xfId="0" applyFont="1" applyFill="1" applyAlignment="1" applyProtection="1">
      <alignment wrapText="1"/>
      <protection locked="0"/>
    </xf>
    <xf numFmtId="0" fontId="8" fillId="2" borderId="0" xfId="0" applyFont="1" applyFill="1" applyAlignment="1">
      <alignment wrapText="1"/>
    </xf>
    <xf numFmtId="0" fontId="8" fillId="2" borderId="2" xfId="0" applyFont="1" applyFill="1" applyBorder="1" applyAlignment="1"/>
    <xf numFmtId="0" fontId="12" fillId="2" borderId="0" xfId="0" applyFont="1" applyFill="1" applyAlignment="1" applyProtection="1">
      <alignment wrapText="1"/>
      <protection locked="0"/>
    </xf>
    <xf numFmtId="0" fontId="0" fillId="2" borderId="0" xfId="0" applyFill="1"/>
    <xf numFmtId="0" fontId="8" fillId="0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wrapText="1"/>
    </xf>
    <xf numFmtId="0" fontId="0" fillId="0" borderId="2" xfId="0" applyBorder="1"/>
    <xf numFmtId="0" fontId="11" fillId="0" borderId="2" xfId="0" applyFont="1" applyBorder="1"/>
    <xf numFmtId="0" fontId="14" fillId="0" borderId="0" xfId="3" applyFont="1" applyBorder="1" applyAlignment="1" applyProtection="1">
      <protection locked="0"/>
    </xf>
    <xf numFmtId="0" fontId="14" fillId="0" borderId="0" xfId="3" applyFont="1" applyAlignment="1" applyProtection="1">
      <protection locked="0"/>
    </xf>
    <xf numFmtId="0" fontId="0" fillId="0" borderId="2" xfId="0" applyFill="1" applyBorder="1"/>
    <xf numFmtId="0" fontId="0" fillId="0" borderId="4" xfId="0" applyFill="1" applyBorder="1"/>
    <xf numFmtId="0" fontId="2" fillId="0" borderId="0" xfId="0" applyFont="1" applyFill="1" applyBorder="1" applyAlignment="1" applyProtection="1">
      <protection locked="0"/>
    </xf>
    <xf numFmtId="0" fontId="7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protection locked="0"/>
    </xf>
    <xf numFmtId="2" fontId="8" fillId="2" borderId="2" xfId="0" applyNumberFormat="1" applyFont="1" applyFill="1" applyBorder="1" applyAlignment="1">
      <alignment wrapText="1"/>
    </xf>
    <xf numFmtId="0" fontId="11" fillId="0" borderId="2" xfId="0" applyFont="1" applyFill="1" applyBorder="1"/>
    <xf numFmtId="0" fontId="2" fillId="0" borderId="3" xfId="1" applyFont="1" applyFill="1" applyBorder="1" applyAlignment="1" applyProtection="1">
      <alignment wrapText="1"/>
    </xf>
    <xf numFmtId="0" fontId="2" fillId="0" borderId="9" xfId="1" applyFont="1" applyFill="1" applyBorder="1" applyAlignment="1" applyProtection="1">
      <alignment wrapText="1"/>
    </xf>
    <xf numFmtId="0" fontId="4" fillId="0" borderId="0" xfId="0" applyFont="1" applyFill="1"/>
    <xf numFmtId="0" fontId="2" fillId="0" borderId="0" xfId="1" applyFont="1" applyFill="1" applyAlignment="1" applyProtection="1">
      <alignment wrapText="1"/>
    </xf>
    <xf numFmtId="0" fontId="2" fillId="0" borderId="2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14" fontId="2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center" wrapText="1"/>
    </xf>
    <xf numFmtId="0" fontId="5" fillId="0" borderId="2" xfId="0" applyFont="1" applyFill="1" applyBorder="1" applyAlignment="1" applyProtection="1">
      <alignment wrapText="1"/>
    </xf>
    <xf numFmtId="0" fontId="4" fillId="0" borderId="2" xfId="0" applyFont="1" applyFill="1" applyBorder="1"/>
    <xf numFmtId="0" fontId="4" fillId="0" borderId="0" xfId="0" applyFont="1" applyFill="1" applyBorder="1"/>
    <xf numFmtId="0" fontId="7" fillId="0" borderId="2" xfId="0" applyFont="1" applyFill="1" applyBorder="1" applyAlignment="1" applyProtection="1">
      <alignment wrapText="1"/>
    </xf>
    <xf numFmtId="0" fontId="7" fillId="0" borderId="2" xfId="0" applyFont="1" applyFill="1" applyBorder="1" applyAlignment="1" applyProtection="1">
      <alignment horizontal="center" wrapText="1"/>
    </xf>
    <xf numFmtId="0" fontId="7" fillId="0" borderId="2" xfId="0" applyNumberFormat="1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 applyProtection="1">
      <alignment horizontal="left"/>
      <protection locked="0"/>
    </xf>
    <xf numFmtId="2" fontId="2" fillId="0" borderId="0" xfId="0" applyNumberFormat="1" applyFont="1" applyFill="1" applyAlignment="1" applyProtection="1">
      <protection locked="0"/>
    </xf>
    <xf numFmtId="0" fontId="16" fillId="0" borderId="2" xfId="0" applyFont="1" applyFill="1" applyBorder="1" applyAlignment="1" applyProtection="1">
      <alignment horizontal="center" vertical="center" wrapText="1"/>
    </xf>
    <xf numFmtId="0" fontId="17" fillId="0" borderId="2" xfId="0" applyNumberFormat="1" applyFont="1" applyBorder="1" applyAlignment="1" applyProtection="1">
      <alignment wrapText="1"/>
    </xf>
    <xf numFmtId="0" fontId="2" fillId="0" borderId="3" xfId="0" applyFont="1" applyFill="1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vertical="center" wrapText="1"/>
    </xf>
    <xf numFmtId="0" fontId="2" fillId="0" borderId="4" xfId="0" applyFont="1" applyFill="1" applyBorder="1" applyAlignment="1" applyProtection="1">
      <alignment vertical="center" wrapText="1"/>
    </xf>
    <xf numFmtId="0" fontId="2" fillId="0" borderId="2" xfId="1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wrapText="1"/>
    </xf>
    <xf numFmtId="0" fontId="18" fillId="0" borderId="0" xfId="3" applyFont="1" applyAlignment="1" applyProtection="1">
      <protection locked="0"/>
    </xf>
    <xf numFmtId="0" fontId="18" fillId="0" borderId="0" xfId="3" applyFont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protection locked="0"/>
    </xf>
    <xf numFmtId="0" fontId="4" fillId="0" borderId="0" xfId="0" applyFont="1" applyFill="1" applyAlignment="1">
      <alignment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3" fillId="0" borderId="0" xfId="0" applyFont="1" applyBorder="1" applyAlignment="1" applyProtection="1"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9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wrapText="1"/>
    </xf>
    <xf numFmtId="0" fontId="5" fillId="0" borderId="5" xfId="0" applyFont="1" applyFill="1" applyBorder="1" applyAlignment="1" applyProtection="1">
      <alignment horizontal="left" wrapText="1"/>
    </xf>
    <xf numFmtId="0" fontId="15" fillId="0" borderId="5" xfId="0" applyFont="1" applyFill="1" applyBorder="1" applyAlignment="1" applyProtection="1">
      <alignment horizontal="center" wrapText="1"/>
    </xf>
    <xf numFmtId="2" fontId="2" fillId="0" borderId="5" xfId="0" applyNumberFormat="1" applyFont="1" applyFill="1" applyBorder="1" applyAlignment="1" applyProtection="1">
      <alignment wrapText="1"/>
    </xf>
    <xf numFmtId="0" fontId="20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18" fillId="0" borderId="0" xfId="5" applyProtection="1">
      <protection locked="0"/>
    </xf>
    <xf numFmtId="0" fontId="18" fillId="0" borderId="0" xfId="5"/>
    <xf numFmtId="0" fontId="14" fillId="0" borderId="22" xfId="5" applyFont="1" applyBorder="1" applyAlignment="1" applyProtection="1">
      <alignment wrapText="1"/>
      <protection locked="0"/>
    </xf>
    <xf numFmtId="49" fontId="14" fillId="0" borderId="22" xfId="5" applyNumberFormat="1" applyFont="1" applyBorder="1" applyAlignment="1" applyProtection="1">
      <alignment horizontal="center" wrapText="1"/>
      <protection locked="0"/>
    </xf>
    <xf numFmtId="49" fontId="14" fillId="0" borderId="22" xfId="5" applyNumberFormat="1" applyFont="1" applyBorder="1" applyAlignment="1" applyProtection="1">
      <alignment wrapText="1"/>
      <protection locked="0"/>
    </xf>
    <xf numFmtId="49" fontId="14" fillId="0" borderId="22" xfId="5" applyNumberFormat="1" applyFont="1" applyBorder="1" applyAlignment="1" applyProtection="1">
      <alignment wrapText="1"/>
    </xf>
    <xf numFmtId="0" fontId="18" fillId="0" borderId="22" xfId="5" applyFont="1" applyBorder="1" applyAlignment="1" applyProtection="1">
      <alignment horizontal="left"/>
      <protection locked="0"/>
    </xf>
    <xf numFmtId="0" fontId="14" fillId="0" borderId="22" xfId="5" applyFont="1" applyBorder="1" applyAlignment="1" applyProtection="1">
      <alignment wrapText="1"/>
    </xf>
    <xf numFmtId="0" fontId="18" fillId="0" borderId="22" xfId="5" applyFont="1" applyBorder="1" applyAlignment="1" applyProtection="1">
      <alignment horizontal="right"/>
      <protection locked="0"/>
    </xf>
    <xf numFmtId="0" fontId="18" fillId="0" borderId="22" xfId="5" applyNumberFormat="1" applyFont="1" applyBorder="1" applyAlignment="1" applyProtection="1">
      <alignment wrapText="1"/>
      <protection locked="0"/>
    </xf>
    <xf numFmtId="0" fontId="18" fillId="0" borderId="22" xfId="5" applyNumberFormat="1" applyFont="1" applyBorder="1" applyAlignment="1" applyProtection="1">
      <alignment horizontal="right" wrapText="1"/>
      <protection locked="0"/>
    </xf>
    <xf numFmtId="0" fontId="18" fillId="0" borderId="22" xfId="5" applyFont="1" applyBorder="1" applyAlignment="1" applyProtection="1">
      <alignment horizontal="left" wrapText="1"/>
      <protection locked="0"/>
    </xf>
    <xf numFmtId="0" fontId="14" fillId="0" borderId="22" xfId="5" applyNumberFormat="1" applyFont="1" applyBorder="1" applyAlignment="1" applyProtection="1">
      <alignment wrapText="1"/>
    </xf>
    <xf numFmtId="0" fontId="21" fillId="0" borderId="0" xfId="0" applyFont="1" applyFill="1"/>
    <xf numFmtId="0" fontId="21" fillId="0" borderId="0" xfId="0" applyFont="1" applyFill="1" applyAlignment="1" applyProtection="1">
      <alignment wrapText="1"/>
      <protection locked="0"/>
    </xf>
    <xf numFmtId="0" fontId="7" fillId="0" borderId="0" xfId="0" applyFont="1" applyBorder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1" fillId="0" borderId="0" xfId="0" applyFont="1" applyFill="1" applyBorder="1" applyAlignment="1" applyProtection="1">
      <protection locked="0"/>
    </xf>
    <xf numFmtId="0" fontId="20" fillId="0" borderId="0" xfId="0" applyFont="1" applyFill="1" applyBorder="1" applyAlignment="1" applyProtection="1">
      <alignment wrapText="1"/>
    </xf>
    <xf numFmtId="0" fontId="20" fillId="0" borderId="2" xfId="0" applyFont="1" applyFill="1" applyBorder="1" applyAlignment="1" applyProtection="1">
      <alignment wrapText="1"/>
    </xf>
    <xf numFmtId="0" fontId="20" fillId="0" borderId="2" xfId="0" applyNumberFormat="1" applyFont="1" applyFill="1" applyBorder="1" applyAlignment="1" applyProtection="1">
      <alignment wrapText="1"/>
    </xf>
    <xf numFmtId="0" fontId="21" fillId="4" borderId="16" xfId="0" applyFont="1" applyFill="1" applyBorder="1" applyAlignment="1" applyProtection="1">
      <alignment horizontal="left" wrapText="1"/>
    </xf>
    <xf numFmtId="0" fontId="21" fillId="4" borderId="15" xfId="0" applyFont="1" applyFill="1" applyBorder="1" applyAlignment="1" applyProtection="1">
      <alignment horizontal="left" wrapText="1"/>
    </xf>
    <xf numFmtId="0" fontId="2" fillId="0" borderId="10" xfId="1" applyFont="1" applyFill="1" applyBorder="1" applyAlignment="1" applyProtection="1">
      <alignment wrapText="1"/>
    </xf>
    <xf numFmtId="0" fontId="6" fillId="0" borderId="2" xfId="0" applyFont="1" applyFill="1" applyBorder="1" applyAlignment="1" applyProtection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applyProtection="1">
      <alignment vertical="center" wrapText="1"/>
    </xf>
    <xf numFmtId="0" fontId="21" fillId="0" borderId="2" xfId="0" applyNumberFormat="1" applyFont="1" applyFill="1" applyBorder="1" applyAlignment="1" applyProtection="1">
      <alignment wrapText="1"/>
    </xf>
    <xf numFmtId="0" fontId="21" fillId="4" borderId="2" xfId="0" applyFont="1" applyFill="1" applyBorder="1" applyAlignment="1" applyProtection="1">
      <alignment wrapText="1"/>
    </xf>
    <xf numFmtId="0" fontId="21" fillId="4" borderId="2" xfId="0" applyFont="1" applyFill="1" applyBorder="1" applyAlignment="1" applyProtection="1">
      <alignment horizontal="left" wrapText="1"/>
    </xf>
    <xf numFmtId="0" fontId="21" fillId="4" borderId="5" xfId="0" applyFont="1" applyFill="1" applyBorder="1" applyAlignment="1" applyProtection="1">
      <alignment horizontal="left" vertical="center" wrapText="1"/>
    </xf>
    <xf numFmtId="0" fontId="2" fillId="4" borderId="10" xfId="1" applyFont="1" applyFill="1" applyBorder="1" applyAlignment="1" applyProtection="1">
      <alignment wrapText="1"/>
    </xf>
    <xf numFmtId="0" fontId="21" fillId="0" borderId="0" xfId="0" applyFont="1" applyFill="1" applyAlignment="1" applyProtection="1">
      <alignment wrapText="1"/>
    </xf>
    <xf numFmtId="0" fontId="22" fillId="0" borderId="0" xfId="0" applyFont="1"/>
    <xf numFmtId="0" fontId="2" fillId="0" borderId="2" xfId="0" applyFont="1" applyBorder="1" applyAlignment="1" applyProtection="1">
      <alignment horizontal="center" vertical="center" wrapText="1"/>
    </xf>
    <xf numFmtId="0" fontId="23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3" fillId="0" borderId="0" xfId="0" applyFont="1" applyAlignment="1" applyProtection="1">
      <alignment horizontal="right" vertical="top" wrapText="1"/>
      <protection locked="0"/>
    </xf>
    <xf numFmtId="0" fontId="24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23" fillId="0" borderId="0" xfId="0" applyFont="1" applyBorder="1" applyProtection="1">
      <protection locked="0"/>
    </xf>
    <xf numFmtId="0" fontId="0" fillId="0" borderId="0" xfId="0" applyAlignment="1"/>
    <xf numFmtId="0" fontId="25" fillId="0" borderId="0" xfId="0" applyFont="1" applyAlignment="1"/>
    <xf numFmtId="0" fontId="25" fillId="0" borderId="0" xfId="0" applyFont="1" applyAlignment="1" applyProtection="1">
      <protection locked="0"/>
    </xf>
    <xf numFmtId="0" fontId="25" fillId="0" borderId="0" xfId="0" applyFont="1" applyProtection="1"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left"/>
      <protection locked="0"/>
    </xf>
    <xf numFmtId="0" fontId="20" fillId="0" borderId="16" xfId="0" applyNumberFormat="1" applyFont="1" applyBorder="1" applyProtection="1"/>
    <xf numFmtId="0" fontId="21" fillId="0" borderId="16" xfId="0" applyFont="1" applyBorder="1" applyProtection="1"/>
    <xf numFmtId="0" fontId="20" fillId="0" borderId="16" xfId="0" applyFont="1" applyBorder="1" applyAlignment="1" applyProtection="1">
      <alignment vertical="center"/>
    </xf>
    <xf numFmtId="0" fontId="21" fillId="0" borderId="16" xfId="0" applyFont="1" applyBorder="1" applyAlignment="1" applyProtection="1">
      <alignment vertical="center"/>
    </xf>
    <xf numFmtId="0" fontId="20" fillId="0" borderId="16" xfId="0" applyNumberFormat="1" applyFont="1" applyBorder="1" applyAlignment="1" applyProtection="1"/>
    <xf numFmtId="0" fontId="21" fillId="0" borderId="16" xfId="0" applyNumberFormat="1" applyFont="1" applyBorder="1" applyAlignment="1" applyProtection="1">
      <protection locked="0"/>
    </xf>
    <xf numFmtId="0" fontId="21" fillId="0" borderId="20" xfId="0" applyFont="1" applyBorder="1" applyAlignment="1" applyProtection="1">
      <alignment horizontal="left" wrapText="1"/>
      <protection locked="0"/>
    </xf>
    <xf numFmtId="0" fontId="21" fillId="0" borderId="16" xfId="0" applyFont="1" applyBorder="1" applyAlignment="1" applyProtection="1">
      <protection locked="0"/>
    </xf>
    <xf numFmtId="0" fontId="21" fillId="0" borderId="20" xfId="0" applyFont="1" applyBorder="1" applyAlignment="1" applyProtection="1">
      <protection locked="0"/>
    </xf>
    <xf numFmtId="0" fontId="21" fillId="0" borderId="16" xfId="0" applyNumberFormat="1" applyFont="1" applyBorder="1" applyAlignment="1" applyProtection="1">
      <alignment wrapText="1"/>
      <protection locked="0"/>
    </xf>
    <xf numFmtId="0" fontId="21" fillId="0" borderId="19" xfId="0" applyFont="1" applyBorder="1" applyAlignment="1" applyProtection="1">
      <alignment horizontal="left" vertical="center"/>
      <protection locked="0"/>
    </xf>
    <xf numFmtId="0" fontId="21" fillId="0" borderId="16" xfId="0" applyNumberFormat="1" applyFont="1" applyBorder="1" applyAlignment="1" applyProtection="1">
      <alignment horizontal="right" wrapText="1"/>
      <protection locked="0"/>
    </xf>
    <xf numFmtId="0" fontId="21" fillId="0" borderId="16" xfId="0" applyFont="1" applyBorder="1" applyAlignment="1" applyProtection="1">
      <alignment horizontal="left" wrapText="1"/>
      <protection locked="0"/>
    </xf>
    <xf numFmtId="0" fontId="21" fillId="0" borderId="16" xfId="0" applyFont="1" applyBorder="1" applyAlignment="1" applyProtection="1">
      <alignment wrapText="1"/>
      <protection locked="0"/>
    </xf>
    <xf numFmtId="0" fontId="24" fillId="0" borderId="0" xfId="0" applyFont="1" applyBorder="1" applyProtection="1">
      <protection locked="0"/>
    </xf>
    <xf numFmtId="0" fontId="20" fillId="0" borderId="16" xfId="0" applyFont="1" applyBorder="1" applyAlignment="1" applyProtection="1"/>
    <xf numFmtId="0" fontId="20" fillId="0" borderId="16" xfId="0" applyFont="1" applyFill="1" applyBorder="1" applyProtection="1">
      <protection locked="0"/>
    </xf>
    <xf numFmtId="1" fontId="20" fillId="0" borderId="16" xfId="0" applyNumberFormat="1" applyFont="1" applyBorder="1" applyProtection="1">
      <protection locked="0"/>
    </xf>
    <xf numFmtId="0" fontId="21" fillId="0" borderId="16" xfId="0" applyFont="1" applyBorder="1" applyAlignment="1" applyProtection="1">
      <alignment horizontal="right"/>
    </xf>
    <xf numFmtId="0" fontId="21" fillId="0" borderId="16" xfId="0" applyFont="1" applyFill="1" applyBorder="1" applyAlignment="1" applyProtection="1">
      <alignment horizontal="right"/>
    </xf>
    <xf numFmtId="0" fontId="20" fillId="0" borderId="16" xfId="0" applyFont="1" applyBorder="1" applyAlignment="1" applyProtection="1">
      <alignment horizontal="right"/>
    </xf>
    <xf numFmtId="0" fontId="20" fillId="0" borderId="16" xfId="0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/>
    <xf numFmtId="0" fontId="24" fillId="0" borderId="0" xfId="0" applyFont="1"/>
    <xf numFmtId="0" fontId="24" fillId="0" borderId="18" xfId="0" applyFont="1" applyBorder="1"/>
    <xf numFmtId="0" fontId="23" fillId="0" borderId="2" xfId="0" applyFont="1" applyBorder="1"/>
    <xf numFmtId="0" fontId="23" fillId="0" borderId="2" xfId="0" applyFont="1" applyBorder="1" applyAlignment="1">
      <alignment horizontal="left"/>
    </xf>
    <xf numFmtId="0" fontId="28" fillId="0" borderId="2" xfId="0" applyFont="1" applyBorder="1" applyAlignment="1">
      <alignment wrapText="1"/>
    </xf>
    <xf numFmtId="0" fontId="24" fillId="0" borderId="2" xfId="0" applyFont="1" applyBorder="1"/>
    <xf numFmtId="0" fontId="28" fillId="0" borderId="2" xfId="0" applyFont="1" applyBorder="1"/>
    <xf numFmtId="0" fontId="2" fillId="0" borderId="6" xfId="0" applyNumberFormat="1" applyFont="1" applyFill="1" applyBorder="1" applyAlignment="1" applyProtection="1">
      <alignment horizontal="center" wrapText="1"/>
    </xf>
    <xf numFmtId="1" fontId="2" fillId="4" borderId="6" xfId="0" applyNumberFormat="1" applyFont="1" applyFill="1" applyBorder="1" applyAlignment="1" applyProtection="1">
      <alignment horizontal="center" wrapText="1"/>
    </xf>
    <xf numFmtId="0" fontId="4" fillId="0" borderId="6" xfId="0" applyFont="1" applyFill="1" applyBorder="1" applyAlignment="1" applyProtection="1">
      <alignment horizontal="center"/>
    </xf>
    <xf numFmtId="0" fontId="2" fillId="4" borderId="5" xfId="0" applyFont="1" applyFill="1" applyBorder="1" applyAlignment="1" applyProtection="1">
      <alignment horizontal="center" wrapText="1"/>
    </xf>
    <xf numFmtId="0" fontId="2" fillId="4" borderId="6" xfId="0" applyFont="1" applyFill="1" applyBorder="1" applyAlignment="1" applyProtection="1">
      <alignment horizontal="center" wrapText="1"/>
    </xf>
    <xf numFmtId="0" fontId="5" fillId="0" borderId="6" xfId="0" applyFont="1" applyFill="1" applyBorder="1" applyAlignment="1" applyProtection="1">
      <alignment horizontal="center" wrapText="1"/>
    </xf>
    <xf numFmtId="0" fontId="29" fillId="0" borderId="2" xfId="0" applyFont="1" applyBorder="1" applyProtection="1"/>
    <xf numFmtId="0" fontId="31" fillId="0" borderId="0" xfId="0" applyFont="1"/>
    <xf numFmtId="0" fontId="21" fillId="0" borderId="2" xfId="0" applyFont="1" applyBorder="1" applyAlignment="1" applyProtection="1">
      <alignment horizontal="right" vertical="top" wrapText="1"/>
      <protection locked="0"/>
    </xf>
    <xf numFmtId="0" fontId="21" fillId="0" borderId="2" xfId="0" applyFont="1" applyBorder="1" applyProtection="1">
      <protection locked="0"/>
    </xf>
    <xf numFmtId="0" fontId="20" fillId="0" borderId="2" xfId="0" applyFont="1" applyBorder="1" applyAlignment="1" applyProtection="1">
      <alignment vertical="top" wrapText="1"/>
    </xf>
    <xf numFmtId="0" fontId="21" fillId="0" borderId="2" xfId="0" applyFont="1" applyBorder="1" applyAlignment="1" applyProtection="1">
      <alignment vertical="top" wrapText="1"/>
    </xf>
    <xf numFmtId="0" fontId="20" fillId="0" borderId="2" xfId="0" applyFont="1" applyBorder="1" applyProtection="1">
      <protection locked="0"/>
    </xf>
    <xf numFmtId="0" fontId="20" fillId="0" borderId="2" xfId="0" applyFont="1" applyBorder="1" applyProtection="1"/>
    <xf numFmtId="0" fontId="21" fillId="0" borderId="2" xfId="0" applyFont="1" applyBorder="1" applyAlignment="1" applyProtection="1">
      <alignment horizontal="right" wrapText="1"/>
      <protection locked="0"/>
    </xf>
    <xf numFmtId="0" fontId="29" fillId="0" borderId="0" xfId="0" applyFont="1" applyAlignment="1" applyProtection="1">
      <alignment horizontal="right" vertical="top" wrapText="1"/>
      <protection locked="0"/>
    </xf>
    <xf numFmtId="0" fontId="20" fillId="0" borderId="0" xfId="0" applyFont="1" applyBorder="1" applyAlignment="1" applyProtection="1">
      <protection locked="0"/>
    </xf>
    <xf numFmtId="0" fontId="20" fillId="0" borderId="0" xfId="0" applyFont="1" applyAlignment="1" applyProtection="1">
      <protection locked="0"/>
    </xf>
    <xf numFmtId="0" fontId="30" fillId="0" borderId="0" xfId="0" applyFont="1" applyAlignment="1" applyProtection="1">
      <alignment horizontal="right" vertical="top" wrapText="1"/>
      <protection locked="0"/>
    </xf>
    <xf numFmtId="0" fontId="21" fillId="0" borderId="0" xfId="0" applyFont="1" applyBorder="1" applyProtection="1">
      <protection locked="0"/>
    </xf>
    <xf numFmtId="0" fontId="21" fillId="0" borderId="0" xfId="0" applyFont="1" applyBorder="1" applyAlignment="1" applyProtection="1">
      <alignment horizontal="right" vertical="top" wrapText="1"/>
      <protection locked="0"/>
    </xf>
    <xf numFmtId="0" fontId="20" fillId="0" borderId="0" xfId="0" applyFont="1" applyBorder="1" applyProtection="1"/>
    <xf numFmtId="0" fontId="20" fillId="0" borderId="0" xfId="0" applyFont="1" applyBorder="1" applyAlignment="1" applyProtection="1">
      <alignment vertical="center" wrapText="1"/>
    </xf>
    <xf numFmtId="0" fontId="21" fillId="4" borderId="2" xfId="0" applyFont="1" applyFill="1" applyBorder="1" applyAlignment="1" applyProtection="1">
      <alignment horizontal="center" wrapText="1"/>
    </xf>
    <xf numFmtId="0" fontId="2" fillId="0" borderId="0" xfId="0" applyFont="1" applyFill="1" applyAlignment="1" applyProtection="1">
      <alignment horizontal="center" wrapText="1"/>
    </xf>
    <xf numFmtId="0" fontId="2" fillId="4" borderId="2" xfId="0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>
      <alignment horizontal="center"/>
    </xf>
    <xf numFmtId="0" fontId="5" fillId="0" borderId="2" xfId="0" applyFont="1" applyFill="1" applyBorder="1" applyAlignment="1" applyProtection="1">
      <alignment horizontal="center" wrapText="1"/>
    </xf>
    <xf numFmtId="2" fontId="2" fillId="0" borderId="2" xfId="0" applyNumberFormat="1" applyFont="1" applyFill="1" applyBorder="1" applyAlignment="1" applyProtection="1">
      <alignment horizontal="center" wrapText="1"/>
    </xf>
    <xf numFmtId="2" fontId="2" fillId="4" borderId="2" xfId="0" applyNumberFormat="1" applyFont="1" applyFill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/>
      <protection locked="0"/>
    </xf>
    <xf numFmtId="0" fontId="3" fillId="0" borderId="2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</xf>
    <xf numFmtId="0" fontId="2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horizontal="center" wrapText="1"/>
    </xf>
    <xf numFmtId="1" fontId="2" fillId="0" borderId="2" xfId="1" applyNumberFormat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 wrapText="1"/>
    </xf>
    <xf numFmtId="0" fontId="4" fillId="0" borderId="2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center" wrapText="1"/>
    </xf>
    <xf numFmtId="1" fontId="2" fillId="4" borderId="2" xfId="0" applyNumberFormat="1" applyFont="1" applyFill="1" applyBorder="1" applyAlignment="1" applyProtection="1">
      <alignment horizontal="center" wrapText="1"/>
    </xf>
    <xf numFmtId="0" fontId="4" fillId="4" borderId="2" xfId="0" applyFont="1" applyFill="1" applyBorder="1" applyAlignment="1" applyProtection="1">
      <alignment horizontal="center"/>
    </xf>
    <xf numFmtId="1" fontId="2" fillId="4" borderId="2" xfId="1" applyNumberFormat="1" applyFont="1" applyFill="1" applyBorder="1" applyAlignment="1" applyProtection="1">
      <alignment horizontal="center" wrapText="1"/>
    </xf>
    <xf numFmtId="0" fontId="2" fillId="4" borderId="2" xfId="1" applyFont="1" applyFill="1" applyBorder="1" applyAlignment="1" applyProtection="1">
      <alignment horizontal="center" wrapText="1"/>
    </xf>
    <xf numFmtId="0" fontId="2" fillId="4" borderId="2" xfId="0" applyNumberFormat="1" applyFont="1" applyFill="1" applyBorder="1" applyAlignment="1" applyProtection="1">
      <alignment horizontal="center" wrapText="1"/>
    </xf>
    <xf numFmtId="0" fontId="3" fillId="0" borderId="0" xfId="0" applyFont="1" applyFill="1" applyAlignment="1" applyProtection="1">
      <alignment horizontal="center"/>
      <protection locked="0"/>
    </xf>
    <xf numFmtId="2" fontId="2" fillId="0" borderId="0" xfId="0" applyNumberFormat="1" applyFont="1" applyFill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 wrapText="1"/>
    </xf>
    <xf numFmtId="0" fontId="23" fillId="0" borderId="2" xfId="0" applyFont="1" applyBorder="1" applyAlignment="1">
      <alignment wrapText="1"/>
    </xf>
    <xf numFmtId="0" fontId="21" fillId="4" borderId="5" xfId="1" applyFont="1" applyFill="1" applyBorder="1" applyAlignment="1" applyProtection="1">
      <alignment horizontal="right" wrapText="1"/>
    </xf>
    <xf numFmtId="0" fontId="21" fillId="0" borderId="6" xfId="0" applyFont="1" applyFill="1" applyBorder="1" applyAlignment="1" applyProtection="1">
      <alignment horizontal="center" wrapText="1"/>
    </xf>
    <xf numFmtId="0" fontId="21" fillId="0" borderId="2" xfId="0" applyNumberFormat="1" applyFont="1" applyFill="1" applyBorder="1" applyAlignment="1" applyProtection="1">
      <alignment horizontal="center" wrapText="1"/>
    </xf>
    <xf numFmtId="1" fontId="21" fillId="0" borderId="2" xfId="1" applyNumberFormat="1" applyFont="1" applyFill="1" applyBorder="1" applyAlignment="1" applyProtection="1">
      <alignment horizontal="center" wrapText="1"/>
    </xf>
    <xf numFmtId="0" fontId="21" fillId="0" borderId="2" xfId="1" applyFont="1" applyFill="1" applyBorder="1" applyAlignment="1" applyProtection="1">
      <alignment horizontal="center" wrapText="1"/>
    </xf>
    <xf numFmtId="0" fontId="21" fillId="0" borderId="2" xfId="0" applyFont="1" applyFill="1" applyBorder="1" applyAlignment="1" applyProtection="1">
      <alignment horizontal="center"/>
    </xf>
    <xf numFmtId="0" fontId="2" fillId="0" borderId="5" xfId="1" applyFont="1" applyFill="1" applyBorder="1" applyAlignment="1" applyProtection="1">
      <alignment wrapText="1"/>
    </xf>
    <xf numFmtId="0" fontId="21" fillId="0" borderId="15" xfId="0" applyFont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wrapText="1"/>
      <protection locked="0"/>
    </xf>
    <xf numFmtId="2" fontId="7" fillId="0" borderId="2" xfId="0" applyNumberFormat="1" applyFont="1" applyFill="1" applyBorder="1" applyAlignment="1" applyProtection="1">
      <alignment horizontal="center" wrapText="1"/>
    </xf>
    <xf numFmtId="0" fontId="2" fillId="4" borderId="2" xfId="1" applyFont="1" applyFill="1" applyBorder="1" applyAlignment="1" applyProtection="1">
      <alignment horizontal="right" wrapText="1"/>
    </xf>
    <xf numFmtId="1" fontId="2" fillId="0" borderId="2" xfId="0" applyNumberFormat="1" applyFont="1" applyFill="1" applyBorder="1" applyAlignment="1" applyProtection="1">
      <alignment horizontal="center" wrapText="1"/>
    </xf>
    <xf numFmtId="0" fontId="3" fillId="0" borderId="2" xfId="0" applyFont="1" applyFill="1" applyBorder="1" applyAlignment="1" applyProtection="1">
      <alignment horizontal="center" wrapText="1"/>
    </xf>
    <xf numFmtId="0" fontId="21" fillId="4" borderId="2" xfId="0" applyFont="1" applyFill="1" applyBorder="1" applyAlignment="1" applyProtection="1">
      <alignment horizontal="left" vertical="center" wrapText="1"/>
    </xf>
    <xf numFmtId="0" fontId="21" fillId="0" borderId="2" xfId="0" applyFont="1" applyBorder="1" applyAlignment="1">
      <alignment wrapText="1"/>
    </xf>
    <xf numFmtId="2" fontId="3" fillId="0" borderId="2" xfId="0" applyNumberFormat="1" applyFont="1" applyFill="1" applyBorder="1" applyAlignment="1" applyProtection="1">
      <alignment horizont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/>
      <protection locked="0"/>
    </xf>
    <xf numFmtId="0" fontId="21" fillId="0" borderId="2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protection locked="0"/>
    </xf>
    <xf numFmtId="0" fontId="3" fillId="0" borderId="0" xfId="0" applyFont="1" applyFill="1" applyAlignment="1" applyProtection="1">
      <alignment wrapText="1"/>
      <protection locked="0"/>
    </xf>
    <xf numFmtId="2" fontId="4" fillId="0" borderId="6" xfId="0" applyNumberFormat="1" applyFont="1" applyFill="1" applyBorder="1" applyProtection="1"/>
    <xf numFmtId="2" fontId="4" fillId="0" borderId="6" xfId="0" applyNumberFormat="1" applyFont="1" applyFill="1" applyBorder="1" applyAlignment="1" applyProtection="1">
      <alignment wrapText="1"/>
    </xf>
    <xf numFmtId="2" fontId="3" fillId="0" borderId="2" xfId="0" applyNumberFormat="1" applyFont="1" applyFill="1" applyBorder="1" applyAlignment="1" applyProtection="1">
      <alignment wrapText="1"/>
    </xf>
    <xf numFmtId="2" fontId="2" fillId="0" borderId="6" xfId="1" applyNumberFormat="1" applyFont="1" applyFill="1" applyBorder="1" applyAlignment="1" applyProtection="1">
      <alignment wrapText="1"/>
    </xf>
    <xf numFmtId="2" fontId="7" fillId="0" borderId="2" xfId="0" applyNumberFormat="1" applyFont="1" applyFill="1" applyBorder="1" applyAlignment="1" applyProtection="1">
      <alignment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protection locked="0"/>
    </xf>
    <xf numFmtId="1" fontId="3" fillId="0" borderId="2" xfId="0" applyNumberFormat="1" applyFont="1" applyFill="1" applyBorder="1" applyAlignment="1" applyProtection="1">
      <alignment wrapText="1"/>
    </xf>
    <xf numFmtId="0" fontId="21" fillId="0" borderId="2" xfId="0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wrapText="1"/>
    </xf>
    <xf numFmtId="0" fontId="21" fillId="2" borderId="2" xfId="0" applyFont="1" applyFill="1" applyBorder="1" applyAlignment="1" applyProtection="1">
      <alignment wrapText="1"/>
    </xf>
    <xf numFmtId="0" fontId="2" fillId="2" borderId="2" xfId="0" applyFont="1" applyFill="1" applyBorder="1" applyAlignment="1" applyProtection="1">
      <alignment horizontal="center" wrapText="1"/>
    </xf>
    <xf numFmtId="0" fontId="5" fillId="2" borderId="2" xfId="0" applyFont="1" applyFill="1" applyBorder="1" applyAlignment="1" applyProtection="1">
      <alignment horizontal="center" wrapText="1"/>
    </xf>
    <xf numFmtId="2" fontId="2" fillId="2" borderId="2" xfId="0" applyNumberFormat="1" applyFont="1" applyFill="1" applyBorder="1" applyAlignment="1" applyProtection="1">
      <alignment horizontal="center" wrapText="1"/>
    </xf>
    <xf numFmtId="0" fontId="2" fillId="2" borderId="2" xfId="0" applyNumberFormat="1" applyFont="1" applyFill="1" applyBorder="1" applyAlignment="1" applyProtection="1">
      <alignment horizontal="center" wrapText="1"/>
    </xf>
    <xf numFmtId="1" fontId="2" fillId="2" borderId="2" xfId="0" applyNumberFormat="1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wrapText="1"/>
    </xf>
    <xf numFmtId="0" fontId="2" fillId="2" borderId="2" xfId="1" applyFont="1" applyFill="1" applyBorder="1" applyAlignment="1" applyProtection="1">
      <alignment horizontal="center" wrapText="1"/>
    </xf>
    <xf numFmtId="0" fontId="4" fillId="2" borderId="0" xfId="0" applyFont="1" applyFill="1"/>
    <xf numFmtId="0" fontId="5" fillId="2" borderId="2" xfId="0" applyFont="1" applyFill="1" applyBorder="1" applyAlignment="1" applyProtection="1">
      <alignment wrapText="1"/>
    </xf>
    <xf numFmtId="0" fontId="6" fillId="2" borderId="2" xfId="0" applyFont="1" applyFill="1" applyBorder="1" applyAlignment="1" applyProtection="1">
      <alignment horizontal="center" wrapText="1"/>
    </xf>
    <xf numFmtId="0" fontId="21" fillId="2" borderId="2" xfId="0" applyFont="1" applyFill="1" applyBorder="1" applyAlignment="1">
      <alignment wrapText="1"/>
    </xf>
    <xf numFmtId="0" fontId="21" fillId="4" borderId="3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protection locked="0"/>
    </xf>
    <xf numFmtId="2" fontId="3" fillId="0" borderId="0" xfId="0" applyNumberFormat="1" applyFont="1" applyFill="1" applyAlignment="1" applyProtection="1">
      <protection locked="0"/>
    </xf>
    <xf numFmtId="0" fontId="3" fillId="0" borderId="0" xfId="0" applyFont="1" applyAlignment="1" applyProtection="1">
      <protection locked="0"/>
    </xf>
    <xf numFmtId="2" fontId="9" fillId="0" borderId="2" xfId="0" applyNumberFormat="1" applyFont="1" applyFill="1" applyBorder="1" applyAlignment="1">
      <alignment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1" fontId="8" fillId="0" borderId="2" xfId="0" applyNumberFormat="1" applyFont="1" applyFill="1" applyBorder="1" applyAlignment="1">
      <alignment wrapText="1"/>
    </xf>
    <xf numFmtId="0" fontId="4" fillId="4" borderId="2" xfId="0" applyFont="1" applyFill="1" applyBorder="1" applyAlignment="1" applyProtection="1">
      <alignment horizontal="right"/>
    </xf>
    <xf numFmtId="0" fontId="4" fillId="4" borderId="6" xfId="0" applyFont="1" applyFill="1" applyBorder="1" applyAlignment="1" applyProtection="1">
      <alignment horizontal="right"/>
    </xf>
    <xf numFmtId="0" fontId="21" fillId="0" borderId="2" xfId="0" applyFont="1" applyFill="1" applyBorder="1" applyAlignment="1" applyProtection="1">
      <alignment horizontal="right"/>
    </xf>
    <xf numFmtId="0" fontId="4" fillId="0" borderId="2" xfId="0" applyFont="1" applyFill="1" applyBorder="1" applyAlignment="1" applyProtection="1">
      <alignment horizontal="right"/>
    </xf>
    <xf numFmtId="1" fontId="2" fillId="4" borderId="2" xfId="0" applyNumberFormat="1" applyFont="1" applyFill="1" applyBorder="1" applyAlignment="1" applyProtection="1">
      <alignment horizontal="right" wrapText="1"/>
    </xf>
    <xf numFmtId="1" fontId="4" fillId="4" borderId="2" xfId="0" applyNumberFormat="1" applyFont="1" applyFill="1" applyBorder="1" applyAlignment="1" applyProtection="1">
      <alignment horizontal="right"/>
    </xf>
    <xf numFmtId="1" fontId="2" fillId="0" borderId="6" xfId="0" applyNumberFormat="1" applyFont="1" applyFill="1" applyBorder="1" applyAlignment="1" applyProtection="1">
      <alignment horizontal="right" wrapText="1"/>
    </xf>
    <xf numFmtId="1" fontId="3" fillId="0" borderId="2" xfId="0" applyNumberFormat="1" applyFont="1" applyFill="1" applyBorder="1" applyAlignment="1" applyProtection="1">
      <alignment horizontal="right" wrapText="1"/>
    </xf>
    <xf numFmtId="1" fontId="2" fillId="2" borderId="2" xfId="0" applyNumberFormat="1" applyFont="1" applyFill="1" applyBorder="1" applyAlignment="1" applyProtection="1">
      <alignment horizontal="right" wrapText="1"/>
    </xf>
    <xf numFmtId="2" fontId="3" fillId="0" borderId="2" xfId="0" applyNumberFormat="1" applyFont="1" applyFill="1" applyBorder="1" applyAlignment="1" applyProtection="1">
      <alignment horizontal="right" wrapText="1"/>
    </xf>
    <xf numFmtId="2" fontId="2" fillId="0" borderId="6" xfId="0" applyNumberFormat="1" applyFont="1" applyFill="1" applyBorder="1" applyAlignment="1" applyProtection="1">
      <alignment horizontal="right" wrapText="1"/>
    </xf>
    <xf numFmtId="2" fontId="2" fillId="4" borderId="2" xfId="0" applyNumberFormat="1" applyFont="1" applyFill="1" applyBorder="1" applyAlignment="1" applyProtection="1">
      <alignment horizontal="right" wrapText="1"/>
    </xf>
    <xf numFmtId="1" fontId="5" fillId="0" borderId="2" xfId="0" applyNumberFormat="1" applyFont="1" applyFill="1" applyBorder="1" applyAlignment="1" applyProtection="1">
      <alignment horizontal="right" wrapText="1"/>
    </xf>
    <xf numFmtId="0" fontId="2" fillId="2" borderId="0" xfId="0" applyFont="1" applyFill="1" applyAlignment="1" applyProtection="1">
      <alignment horizontal="center" wrapText="1"/>
      <protection locked="0"/>
    </xf>
    <xf numFmtId="0" fontId="2" fillId="2" borderId="0" xfId="1" applyFont="1" applyFill="1" applyAlignment="1" applyProtection="1">
      <alignment horizont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 applyProtection="1">
      <protection locked="0"/>
    </xf>
    <xf numFmtId="0" fontId="22" fillId="2" borderId="0" xfId="0" applyFont="1" applyFill="1"/>
    <xf numFmtId="0" fontId="5" fillId="2" borderId="2" xfId="0" applyFont="1" applyFill="1" applyBorder="1" applyAlignment="1" applyProtection="1">
      <alignment horizontal="center" vertical="center" wrapText="1"/>
    </xf>
    <xf numFmtId="0" fontId="2" fillId="2" borderId="0" xfId="1" applyFont="1" applyFill="1" applyAlignment="1" applyProtection="1">
      <alignment wrapText="1"/>
    </xf>
    <xf numFmtId="0" fontId="7" fillId="2" borderId="0" xfId="0" applyFont="1" applyFill="1" applyBorder="1" applyAlignment="1" applyProtection="1">
      <alignment wrapText="1"/>
    </xf>
    <xf numFmtId="0" fontId="20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7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wrapText="1"/>
    </xf>
    <xf numFmtId="0" fontId="21" fillId="2" borderId="17" xfId="0" applyFont="1" applyFill="1" applyBorder="1" applyAlignment="1" applyProtection="1">
      <alignment horizontal="center" wrapText="1"/>
    </xf>
    <xf numFmtId="0" fontId="2" fillId="2" borderId="2" xfId="0" applyNumberFormat="1" applyFont="1" applyFill="1" applyBorder="1" applyAlignment="1" applyProtection="1">
      <alignment wrapText="1"/>
    </xf>
    <xf numFmtId="0" fontId="2" fillId="2" borderId="21" xfId="0" applyFont="1" applyFill="1" applyBorder="1" applyAlignment="1" applyProtection="1">
      <alignment horizontal="center" wrapText="1"/>
    </xf>
    <xf numFmtId="0" fontId="2" fillId="2" borderId="17" xfId="0" applyFont="1" applyFill="1" applyBorder="1" applyAlignment="1" applyProtection="1">
      <alignment horizontal="center" wrapText="1"/>
    </xf>
    <xf numFmtId="0" fontId="2" fillId="2" borderId="5" xfId="0" applyNumberFormat="1" applyFont="1" applyFill="1" applyBorder="1" applyAlignment="1" applyProtection="1">
      <alignment wrapText="1"/>
    </xf>
    <xf numFmtId="0" fontId="2" fillId="2" borderId="4" xfId="0" applyFont="1" applyFill="1" applyBorder="1" applyAlignment="1" applyProtection="1">
      <alignment horizontal="center" wrapText="1"/>
    </xf>
    <xf numFmtId="0" fontId="7" fillId="2" borderId="2" xfId="0" applyFont="1" applyFill="1" applyBorder="1" applyAlignment="1" applyProtection="1">
      <alignment wrapText="1"/>
    </xf>
    <xf numFmtId="0" fontId="7" fillId="2" borderId="0" xfId="0" applyFont="1" applyFill="1" applyBorder="1" applyAlignment="1" applyProtection="1">
      <protection locked="0"/>
    </xf>
    <xf numFmtId="0" fontId="28" fillId="0" borderId="2" xfId="0" applyNumberFormat="1" applyFont="1" applyFill="1" applyBorder="1" applyAlignment="1" applyProtection="1">
      <alignment wrapText="1"/>
    </xf>
    <xf numFmtId="0" fontId="34" fillId="4" borderId="2" xfId="0" applyFont="1" applyFill="1" applyBorder="1" applyAlignment="1" applyProtection="1">
      <alignment horizontal="center" wrapText="1"/>
    </xf>
    <xf numFmtId="0" fontId="35" fillId="0" borderId="2" xfId="0" applyFont="1" applyFill="1" applyBorder="1" applyAlignment="1" applyProtection="1">
      <alignment horizontal="center" wrapText="1"/>
    </xf>
    <xf numFmtId="0" fontId="34" fillId="0" borderId="6" xfId="0" applyNumberFormat="1" applyFont="1" applyFill="1" applyBorder="1" applyAlignment="1" applyProtection="1">
      <alignment horizontal="center" wrapText="1"/>
    </xf>
    <xf numFmtId="1" fontId="34" fillId="4" borderId="2" xfId="0" applyNumberFormat="1" applyFont="1" applyFill="1" applyBorder="1" applyAlignment="1" applyProtection="1">
      <alignment horizontal="center" wrapText="1"/>
    </xf>
    <xf numFmtId="0" fontId="34" fillId="4" borderId="2" xfId="0" applyNumberFormat="1" applyFont="1" applyFill="1" applyBorder="1" applyAlignment="1" applyProtection="1">
      <alignment horizontal="center" wrapText="1"/>
    </xf>
    <xf numFmtId="0" fontId="36" fillId="4" borderId="2" xfId="0" applyFont="1" applyFill="1" applyBorder="1" applyAlignment="1" applyProtection="1">
      <alignment horizontal="center"/>
    </xf>
    <xf numFmtId="0" fontId="36" fillId="4" borderId="2" xfId="0" applyFont="1" applyFill="1" applyBorder="1" applyAlignment="1" applyProtection="1">
      <alignment horizontal="right"/>
    </xf>
    <xf numFmtId="1" fontId="34" fillId="0" borderId="6" xfId="0" applyNumberFormat="1" applyFont="1" applyFill="1" applyBorder="1" applyAlignment="1" applyProtection="1">
      <alignment wrapText="1"/>
    </xf>
    <xf numFmtId="0" fontId="34" fillId="0" borderId="6" xfId="0" applyFont="1" applyFill="1" applyBorder="1" applyAlignment="1" applyProtection="1">
      <alignment wrapText="1"/>
    </xf>
    <xf numFmtId="2" fontId="34" fillId="0" borderId="6" xfId="0" applyNumberFormat="1" applyFont="1" applyFill="1" applyBorder="1" applyAlignment="1" applyProtection="1">
      <alignment wrapText="1"/>
    </xf>
    <xf numFmtId="0" fontId="36" fillId="0" borderId="6" xfId="0" applyFont="1" applyFill="1" applyBorder="1" applyProtection="1"/>
    <xf numFmtId="2" fontId="36" fillId="0" borderId="6" xfId="0" applyNumberFormat="1" applyFont="1" applyFill="1" applyBorder="1" applyProtection="1"/>
    <xf numFmtId="2" fontId="36" fillId="0" borderId="6" xfId="0" applyNumberFormat="1" applyFont="1" applyFill="1" applyBorder="1" applyAlignment="1" applyProtection="1">
      <alignment wrapText="1"/>
    </xf>
    <xf numFmtId="2" fontId="34" fillId="0" borderId="2" xfId="0" applyNumberFormat="1" applyFont="1" applyFill="1" applyBorder="1" applyAlignment="1" applyProtection="1">
      <alignment wrapText="1"/>
    </xf>
    <xf numFmtId="2" fontId="37" fillId="0" borderId="2" xfId="0" applyNumberFormat="1" applyFont="1" applyFill="1" applyBorder="1" applyAlignment="1" applyProtection="1">
      <alignment wrapText="1"/>
    </xf>
    <xf numFmtId="2" fontId="34" fillId="0" borderId="6" xfId="1" applyNumberFormat="1" applyFont="1" applyFill="1" applyBorder="1" applyAlignment="1" applyProtection="1">
      <alignment wrapText="1"/>
    </xf>
    <xf numFmtId="0" fontId="36" fillId="0" borderId="0" xfId="0" applyFont="1" applyFill="1"/>
    <xf numFmtId="0" fontId="21" fillId="4" borderId="19" xfId="0" applyFont="1" applyFill="1" applyBorder="1" applyAlignment="1" applyProtection="1">
      <alignment horizontal="left" wrapText="1"/>
    </xf>
    <xf numFmtId="1" fontId="3" fillId="0" borderId="6" xfId="0" applyNumberFormat="1" applyFont="1" applyFill="1" applyBorder="1" applyAlignment="1" applyProtection="1">
      <alignment horizontal="right" wrapText="1"/>
    </xf>
    <xf numFmtId="0" fontId="2" fillId="4" borderId="2" xfId="0" applyNumberFormat="1" applyFont="1" applyFill="1" applyBorder="1" applyAlignment="1" applyProtection="1">
      <alignment horizontal="right" wrapText="1"/>
    </xf>
    <xf numFmtId="1" fontId="2" fillId="3" borderId="6" xfId="0" applyNumberFormat="1" applyFont="1" applyFill="1" applyBorder="1" applyAlignment="1" applyProtection="1">
      <alignment wrapText="1"/>
    </xf>
    <xf numFmtId="1" fontId="34" fillId="3" borderId="6" xfId="0" applyNumberFormat="1" applyFont="1" applyFill="1" applyBorder="1" applyAlignment="1" applyProtection="1">
      <alignment wrapText="1"/>
    </xf>
    <xf numFmtId="2" fontId="3" fillId="2" borderId="2" xfId="0" applyNumberFormat="1" applyFont="1" applyFill="1" applyBorder="1" applyAlignment="1" applyProtection="1">
      <alignment horizontal="center" wrapText="1"/>
    </xf>
    <xf numFmtId="1" fontId="2" fillId="2" borderId="2" xfId="1" applyNumberFormat="1" applyFont="1" applyFill="1" applyBorder="1" applyAlignment="1" applyProtection="1">
      <alignment horizontal="center" wrapText="1"/>
    </xf>
    <xf numFmtId="0" fontId="3" fillId="2" borderId="2" xfId="0" applyNumberFormat="1" applyFont="1" applyFill="1" applyBorder="1" applyAlignment="1" applyProtection="1">
      <alignment horizontal="center" wrapText="1"/>
    </xf>
    <xf numFmtId="0" fontId="8" fillId="3" borderId="2" xfId="0" applyFont="1" applyFill="1" applyBorder="1" applyAlignment="1">
      <alignment wrapText="1"/>
    </xf>
    <xf numFmtId="1" fontId="2" fillId="2" borderId="6" xfId="0" applyNumberFormat="1" applyFont="1" applyFill="1" applyBorder="1" applyAlignment="1" applyProtection="1">
      <alignment wrapText="1"/>
    </xf>
    <xf numFmtId="1" fontId="34" fillId="2" borderId="6" xfId="0" applyNumberFormat="1" applyFont="1" applyFill="1" applyBorder="1" applyAlignment="1" applyProtection="1">
      <alignment wrapText="1"/>
    </xf>
    <xf numFmtId="1" fontId="2" fillId="2" borderId="5" xfId="0" applyNumberFormat="1" applyFont="1" applyFill="1" applyBorder="1" applyAlignment="1" applyProtection="1">
      <alignment wrapText="1"/>
    </xf>
    <xf numFmtId="1" fontId="7" fillId="2" borderId="2" xfId="0" applyNumberFormat="1" applyFont="1" applyFill="1" applyBorder="1" applyAlignment="1" applyProtection="1">
      <alignment wrapText="1"/>
    </xf>
    <xf numFmtId="1" fontId="33" fillId="2" borderId="2" xfId="0" applyNumberFormat="1" applyFont="1" applyFill="1" applyBorder="1" applyAlignment="1" applyProtection="1">
      <alignment horizontal="right" wrapText="1"/>
    </xf>
    <xf numFmtId="1" fontId="3" fillId="2" borderId="2" xfId="0" applyNumberFormat="1" applyFont="1" applyFill="1" applyBorder="1" applyAlignment="1" applyProtection="1">
      <alignment horizontal="right" wrapText="1"/>
    </xf>
    <xf numFmtId="2" fontId="2" fillId="3" borderId="6" xfId="0" applyNumberFormat="1" applyFont="1" applyFill="1" applyBorder="1" applyAlignment="1" applyProtection="1">
      <alignment wrapText="1"/>
    </xf>
    <xf numFmtId="0" fontId="2" fillId="0" borderId="2" xfId="1" applyFont="1" applyFill="1" applyBorder="1" applyAlignment="1" applyProtection="1">
      <alignment horizontal="right" vertical="center" wrapText="1"/>
    </xf>
    <xf numFmtId="0" fontId="6" fillId="3" borderId="2" xfId="0" applyFont="1" applyFill="1" applyBorder="1" applyAlignment="1" applyProtection="1">
      <alignment horizontal="center" wrapText="1"/>
    </xf>
    <xf numFmtId="0" fontId="5" fillId="3" borderId="2" xfId="0" applyFont="1" applyFill="1" applyBorder="1" applyAlignment="1" applyProtection="1">
      <alignment horizontal="center" wrapText="1"/>
    </xf>
    <xf numFmtId="0" fontId="3" fillId="0" borderId="0" xfId="3" applyFont="1" applyBorder="1" applyAlignment="1" applyProtection="1">
      <alignment wrapText="1"/>
      <protection locked="0"/>
    </xf>
    <xf numFmtId="0" fontId="18" fillId="0" borderId="22" xfId="5" applyFont="1" applyBorder="1" applyAlignment="1" applyProtection="1">
      <alignment wrapText="1"/>
      <protection locked="0"/>
    </xf>
    <xf numFmtId="0" fontId="18" fillId="0" borderId="22" xfId="5" applyFont="1" applyBorder="1" applyAlignment="1" applyProtection="1">
      <alignment wrapText="1"/>
    </xf>
    <xf numFmtId="0" fontId="2" fillId="4" borderId="2" xfId="1" applyFont="1" applyFill="1" applyBorder="1" applyAlignment="1" applyProtection="1">
      <alignment vertical="center" wrapText="1"/>
    </xf>
    <xf numFmtId="0" fontId="32" fillId="0" borderId="2" xfId="0" applyFont="1" applyBorder="1" applyAlignment="1">
      <alignment wrapText="1"/>
    </xf>
    <xf numFmtId="0" fontId="23" fillId="0" borderId="7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0" xfId="0" applyFont="1" applyAlignment="1"/>
    <xf numFmtId="0" fontId="24" fillId="0" borderId="15" xfId="0" applyFont="1" applyBorder="1" applyAlignment="1">
      <alignment wrapText="1"/>
    </xf>
    <xf numFmtId="0" fontId="7" fillId="0" borderId="0" xfId="0" applyFont="1" applyAlignment="1" applyProtection="1">
      <alignment horizontal="left" wrapText="1"/>
      <protection locked="0"/>
    </xf>
    <xf numFmtId="0" fontId="20" fillId="0" borderId="16" xfId="0" applyFont="1" applyBorder="1" applyProtection="1">
      <protection locked="0"/>
    </xf>
    <xf numFmtId="0" fontId="23" fillId="0" borderId="0" xfId="0" applyFont="1" applyAlignment="1" applyProtection="1">
      <alignment horizontal="center"/>
      <protection locked="0"/>
    </xf>
    <xf numFmtId="0" fontId="20" fillId="0" borderId="16" xfId="0" applyFont="1" applyBorder="1" applyProtection="1"/>
    <xf numFmtId="0" fontId="23" fillId="0" borderId="0" xfId="0" applyFont="1" applyAlignment="1" applyProtection="1">
      <protection locked="0"/>
    </xf>
    <xf numFmtId="0" fontId="2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wrapText="1"/>
    </xf>
    <xf numFmtId="0" fontId="8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protection locked="0"/>
    </xf>
    <xf numFmtId="0" fontId="21" fillId="0" borderId="2" xfId="0" applyFont="1" applyBorder="1" applyAlignment="1" applyProtection="1">
      <alignment horizontal="left" vertical="top" wrapText="1"/>
      <protection locked="0"/>
    </xf>
    <xf numFmtId="0" fontId="11" fillId="0" borderId="4" xfId="0" applyFont="1" applyBorder="1" applyAlignment="1">
      <alignment wrapText="1"/>
    </xf>
    <xf numFmtId="0" fontId="23" fillId="0" borderId="6" xfId="0" applyFont="1" applyBorder="1" applyAlignment="1">
      <alignment horizontal="left"/>
    </xf>
    <xf numFmtId="0" fontId="21" fillId="0" borderId="16" xfId="0" applyFont="1" applyBorder="1" applyAlignment="1" applyProtection="1">
      <alignment horizontal="left"/>
      <protection locked="0"/>
    </xf>
    <xf numFmtId="0" fontId="21" fillId="0" borderId="16" xfId="0" applyNumberFormat="1" applyFont="1" applyBorder="1" applyAlignment="1" applyProtection="1"/>
    <xf numFmtId="0" fontId="21" fillId="0" borderId="15" xfId="0" applyFont="1" applyBorder="1" applyAlignment="1" applyProtection="1">
      <alignment horizontal="left" vertical="center"/>
      <protection locked="0"/>
    </xf>
    <xf numFmtId="0" fontId="21" fillId="0" borderId="15" xfId="0" applyFont="1" applyBorder="1" applyAlignment="1" applyProtection="1">
      <alignment horizontal="left"/>
      <protection locked="0"/>
    </xf>
    <xf numFmtId="0" fontId="21" fillId="0" borderId="2" xfId="0" applyFont="1" applyBorder="1" applyAlignment="1" applyProtection="1">
      <alignment horizontal="left" vertical="center"/>
      <protection locked="0"/>
    </xf>
    <xf numFmtId="0" fontId="21" fillId="0" borderId="18" xfId="0" applyFont="1" applyBorder="1" applyAlignment="1" applyProtection="1">
      <alignment horizontal="left"/>
      <protection locked="0"/>
    </xf>
    <xf numFmtId="0" fontId="21" fillId="0" borderId="2" xfId="0" applyFont="1" applyBorder="1" applyAlignment="1" applyProtection="1">
      <alignment horizontal="left"/>
      <protection locked="0"/>
    </xf>
    <xf numFmtId="0" fontId="3" fillId="4" borderId="2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1" fontId="3" fillId="0" borderId="6" xfId="0" applyNumberFormat="1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center" wrapText="1"/>
    </xf>
    <xf numFmtId="0" fontId="5" fillId="0" borderId="2" xfId="0" applyNumberFormat="1" applyFont="1" applyFill="1" applyBorder="1" applyAlignment="1" applyProtection="1">
      <alignment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2" fillId="4" borderId="23" xfId="0" applyFont="1" applyFill="1" applyBorder="1" applyAlignment="1" applyProtection="1">
      <alignment horizontal="center" wrapText="1"/>
    </xf>
    <xf numFmtId="0" fontId="7" fillId="0" borderId="3" xfId="1" applyFont="1" applyFill="1" applyBorder="1" applyAlignment="1" applyProtection="1">
      <alignment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38" fillId="0" borderId="2" xfId="0" applyFont="1" applyFill="1" applyBorder="1" applyProtection="1"/>
    <xf numFmtId="0" fontId="39" fillId="0" borderId="2" xfId="0" applyFont="1" applyFill="1" applyBorder="1" applyAlignment="1" applyProtection="1">
      <alignment horizontal="center" wrapText="1"/>
    </xf>
    <xf numFmtId="0" fontId="22" fillId="0" borderId="2" xfId="0" applyNumberFormat="1" applyFont="1" applyFill="1" applyBorder="1"/>
    <xf numFmtId="0" fontId="39" fillId="0" borderId="2" xfId="0" applyFont="1" applyFill="1" applyBorder="1" applyAlignment="1" applyProtection="1">
      <alignment wrapText="1"/>
    </xf>
    <xf numFmtId="1" fontId="2" fillId="0" borderId="2" xfId="0" applyNumberFormat="1" applyFont="1" applyFill="1" applyBorder="1" applyAlignment="1" applyProtection="1">
      <alignment wrapText="1"/>
    </xf>
    <xf numFmtId="0" fontId="4" fillId="0" borderId="2" xfId="0" applyFont="1" applyFill="1" applyBorder="1" applyProtection="1"/>
    <xf numFmtId="2" fontId="9" fillId="0" borderId="6" xfId="0" applyNumberFormat="1" applyFont="1" applyFill="1" applyBorder="1" applyAlignment="1" applyProtection="1">
      <alignment wrapText="1"/>
    </xf>
    <xf numFmtId="0" fontId="17" fillId="0" borderId="2" xfId="0" applyNumberFormat="1" applyFont="1" applyFill="1" applyBorder="1" applyAlignment="1" applyProtection="1">
      <alignment wrapText="1"/>
    </xf>
    <xf numFmtId="2" fontId="5" fillId="0" borderId="2" xfId="0" applyNumberFormat="1" applyFont="1" applyFill="1" applyBorder="1" applyAlignment="1" applyProtection="1">
      <alignment horizontal="right" wrapText="1"/>
    </xf>
    <xf numFmtId="0" fontId="7" fillId="0" borderId="2" xfId="1" applyFont="1" applyFill="1" applyBorder="1" applyAlignment="1" applyProtection="1">
      <alignment vertical="center" wrapText="1"/>
    </xf>
    <xf numFmtId="2" fontId="13" fillId="0" borderId="2" xfId="0" applyNumberFormat="1" applyFont="1" applyFill="1" applyBorder="1" applyAlignment="1" applyProtection="1">
      <alignment wrapText="1"/>
    </xf>
    <xf numFmtId="0" fontId="13" fillId="0" borderId="2" xfId="0" applyFont="1" applyFill="1" applyBorder="1" applyAlignment="1" applyProtection="1">
      <alignment wrapText="1"/>
    </xf>
    <xf numFmtId="0" fontId="9" fillId="0" borderId="2" xfId="0" applyFont="1" applyFill="1" applyBorder="1" applyAlignment="1" applyProtection="1">
      <alignment wrapText="1"/>
    </xf>
    <xf numFmtId="0" fontId="40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0" fontId="0" fillId="0" borderId="2" xfId="0" applyFont="1" applyFill="1" applyBorder="1"/>
    <xf numFmtId="0" fontId="7" fillId="0" borderId="0" xfId="0" applyFont="1" applyFill="1" applyBorder="1" applyAlignment="1" applyProtection="1">
      <protection locked="0"/>
    </xf>
    <xf numFmtId="1" fontId="20" fillId="0" borderId="2" xfId="0" applyNumberFormat="1" applyFont="1" applyBorder="1" applyAlignment="1" applyProtection="1">
      <alignment horizontal="right" vertical="top" wrapText="1"/>
    </xf>
    <xf numFmtId="1" fontId="20" fillId="0" borderId="2" xfId="0" applyNumberFormat="1" applyFont="1" applyBorder="1" applyProtection="1"/>
    <xf numFmtId="0" fontId="21" fillId="0" borderId="2" xfId="0" applyFont="1" applyBorder="1" applyAlignment="1" applyProtection="1">
      <alignment vertical="center"/>
      <protection locked="0"/>
    </xf>
    <xf numFmtId="0" fontId="30" fillId="0" borderId="2" xfId="0" applyFont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2" borderId="24" xfId="0" applyFont="1" applyFill="1" applyBorder="1" applyAlignment="1" applyProtection="1">
      <alignment horizontal="center" wrapText="1"/>
    </xf>
    <xf numFmtId="0" fontId="21" fillId="4" borderId="25" xfId="0" applyFont="1" applyFill="1" applyBorder="1" applyAlignment="1" applyProtection="1">
      <alignment horizontal="left" wrapText="1"/>
    </xf>
    <xf numFmtId="0" fontId="2" fillId="2" borderId="26" xfId="0" applyFont="1" applyFill="1" applyBorder="1" applyAlignment="1" applyProtection="1">
      <alignment horizontal="center" wrapText="1"/>
    </xf>
    <xf numFmtId="0" fontId="34" fillId="2" borderId="2" xfId="0" applyFont="1" applyFill="1" applyBorder="1" applyAlignment="1" applyProtection="1">
      <alignment horizontal="center" wrapText="1"/>
    </xf>
    <xf numFmtId="1" fontId="2" fillId="2" borderId="2" xfId="0" applyNumberFormat="1" applyFont="1" applyFill="1" applyBorder="1" applyAlignment="1" applyProtection="1">
      <alignment wrapText="1"/>
    </xf>
    <xf numFmtId="0" fontId="2" fillId="4" borderId="0" xfId="0" applyFont="1" applyFill="1" applyBorder="1" applyAlignment="1" applyProtection="1">
      <alignment horizont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wrapText="1"/>
      <protection locked="0"/>
    </xf>
    <xf numFmtId="0" fontId="23" fillId="0" borderId="0" xfId="0" applyFont="1" applyAlignment="1" applyProtection="1">
      <protection locked="0"/>
    </xf>
    <xf numFmtId="0" fontId="23" fillId="0" borderId="2" xfId="0" applyFont="1" applyBorder="1" applyAlignment="1">
      <alignment horizontal="center"/>
    </xf>
    <xf numFmtId="0" fontId="2" fillId="0" borderId="6" xfId="1" applyFont="1" applyFill="1" applyBorder="1" applyAlignment="1" applyProtection="1">
      <alignment horizontal="center" wrapText="1"/>
    </xf>
    <xf numFmtId="0" fontId="21" fillId="4" borderId="5" xfId="0" applyFont="1" applyFill="1" applyBorder="1" applyAlignment="1" applyProtection="1">
      <alignment horizontal="center" wrapText="1"/>
    </xf>
    <xf numFmtId="0" fontId="21" fillId="4" borderId="6" xfId="0" applyFont="1" applyFill="1" applyBorder="1" applyAlignment="1" applyProtection="1">
      <alignment horizontal="left" wrapText="1"/>
    </xf>
    <xf numFmtId="0" fontId="2" fillId="4" borderId="5" xfId="1" applyFont="1" applyFill="1" applyBorder="1" applyAlignment="1" applyProtection="1">
      <alignment horizontal="center" vertical="center"/>
    </xf>
    <xf numFmtId="0" fontId="29" fillId="0" borderId="5" xfId="0" applyFont="1" applyBorder="1" applyProtection="1"/>
    <xf numFmtId="0" fontId="29" fillId="0" borderId="5" xfId="0" applyFont="1" applyBorder="1" applyProtection="1">
      <protection locked="0"/>
    </xf>
    <xf numFmtId="0" fontId="30" fillId="0" borderId="5" xfId="0" applyFont="1" applyBorder="1" applyProtection="1"/>
    <xf numFmtId="0" fontId="29" fillId="0" borderId="5" xfId="0" applyFont="1" applyBorder="1" applyAlignment="1" applyProtection="1">
      <alignment horizontal="right"/>
      <protection locked="0"/>
    </xf>
    <xf numFmtId="0" fontId="21" fillId="0" borderId="27" xfId="0" applyFont="1" applyBorder="1" applyAlignment="1" applyProtection="1">
      <alignment horizontal="center" vertical="center"/>
      <protection locked="0"/>
    </xf>
    <xf numFmtId="0" fontId="21" fillId="0" borderId="28" xfId="0" applyFont="1" applyBorder="1" applyAlignment="1" applyProtection="1">
      <alignment vertical="center" wrapText="1"/>
      <protection locked="0"/>
    </xf>
    <xf numFmtId="0" fontId="21" fillId="0" borderId="28" xfId="0" applyFont="1" applyBorder="1" applyProtection="1">
      <protection locked="0"/>
    </xf>
    <xf numFmtId="0" fontId="20" fillId="0" borderId="28" xfId="0" applyFont="1" applyBorder="1" applyAlignment="1" applyProtection="1">
      <alignment vertical="top" wrapText="1"/>
    </xf>
    <xf numFmtId="0" fontId="21" fillId="0" borderId="28" xfId="0" applyFont="1" applyBorder="1" applyAlignment="1" applyProtection="1">
      <alignment vertical="top" wrapText="1"/>
    </xf>
    <xf numFmtId="0" fontId="21" fillId="0" borderId="28" xfId="0" applyFont="1" applyBorder="1" applyAlignment="1" applyProtection="1">
      <alignment horizontal="right"/>
      <protection locked="0"/>
    </xf>
    <xf numFmtId="1" fontId="20" fillId="0" borderId="28" xfId="0" applyNumberFormat="1" applyFont="1" applyBorder="1" applyAlignment="1" applyProtection="1">
      <alignment horizontal="right" vertical="top" wrapText="1"/>
    </xf>
    <xf numFmtId="1" fontId="20" fillId="0" borderId="28" xfId="0" applyNumberFormat="1" applyFont="1" applyBorder="1" applyProtection="1"/>
    <xf numFmtId="0" fontId="20" fillId="0" borderId="28" xfId="0" applyFont="1" applyBorder="1" applyProtection="1">
      <protection locked="0"/>
    </xf>
    <xf numFmtId="0" fontId="20" fillId="0" borderId="28" xfId="0" applyFont="1" applyBorder="1" applyProtection="1"/>
    <xf numFmtId="0" fontId="20" fillId="0" borderId="29" xfId="0" applyFont="1" applyBorder="1" applyAlignment="1" applyProtection="1">
      <alignment horizontal="right" vertical="center" wrapText="1"/>
    </xf>
    <xf numFmtId="0" fontId="21" fillId="0" borderId="31" xfId="0" applyFont="1" applyBorder="1" applyProtection="1">
      <protection locked="0"/>
    </xf>
    <xf numFmtId="0" fontId="21" fillId="0" borderId="31" xfId="0" applyFont="1" applyBorder="1" applyAlignment="1" applyProtection="1">
      <alignment vertical="center"/>
      <protection locked="0"/>
    </xf>
    <xf numFmtId="0" fontId="21" fillId="0" borderId="31" xfId="0" applyFont="1" applyBorder="1" applyAlignment="1" applyProtection="1">
      <alignment vertical="top" wrapText="1"/>
    </xf>
    <xf numFmtId="1" fontId="21" fillId="0" borderId="31" xfId="0" applyNumberFormat="1" applyFont="1" applyBorder="1" applyAlignment="1" applyProtection="1">
      <alignment horizontal="right" vertical="top" wrapText="1"/>
    </xf>
    <xf numFmtId="1" fontId="21" fillId="0" borderId="31" xfId="0" applyNumberFormat="1" applyFont="1" applyBorder="1" applyProtection="1"/>
    <xf numFmtId="0" fontId="21" fillId="0" borderId="31" xfId="0" applyFont="1" applyBorder="1" applyProtection="1"/>
    <xf numFmtId="1" fontId="21" fillId="0" borderId="2" xfId="0" applyNumberFormat="1" applyFont="1" applyBorder="1" applyAlignment="1" applyProtection="1">
      <alignment horizontal="right" vertical="top" wrapText="1"/>
    </xf>
    <xf numFmtId="1" fontId="21" fillId="0" borderId="2" xfId="0" applyNumberFormat="1" applyFont="1" applyBorder="1" applyProtection="1"/>
    <xf numFmtId="0" fontId="21" fillId="0" borderId="2" xfId="0" applyFont="1" applyBorder="1" applyProtection="1"/>
    <xf numFmtId="0" fontId="21" fillId="0" borderId="5" xfId="0" applyFont="1" applyBorder="1" applyProtection="1">
      <protection locked="0"/>
    </xf>
    <xf numFmtId="0" fontId="21" fillId="0" borderId="5" xfId="0" applyFont="1" applyBorder="1" applyAlignment="1" applyProtection="1">
      <alignment vertical="center"/>
      <protection locked="0"/>
    </xf>
    <xf numFmtId="0" fontId="21" fillId="0" borderId="5" xfId="0" applyFont="1" applyBorder="1" applyAlignment="1" applyProtection="1">
      <alignment vertical="top" wrapText="1"/>
    </xf>
    <xf numFmtId="1" fontId="21" fillId="0" borderId="5" xfId="0" applyNumberFormat="1" applyFont="1" applyBorder="1" applyAlignment="1" applyProtection="1">
      <alignment horizontal="right" vertical="top" wrapText="1"/>
    </xf>
    <xf numFmtId="1" fontId="21" fillId="0" borderId="5" xfId="0" applyNumberFormat="1" applyFont="1" applyBorder="1" applyProtection="1"/>
    <xf numFmtId="0" fontId="21" fillId="0" borderId="5" xfId="0" applyFont="1" applyBorder="1" applyProtection="1"/>
    <xf numFmtId="0" fontId="21" fillId="0" borderId="31" xfId="0" applyFont="1" applyBorder="1" applyAlignment="1" applyProtection="1">
      <alignment horizontal="left" vertical="top" wrapText="1"/>
      <protection locked="0"/>
    </xf>
    <xf numFmtId="0" fontId="21" fillId="0" borderId="31" xfId="0" applyFont="1" applyBorder="1" applyAlignment="1" applyProtection="1">
      <alignment horizontal="right" vertical="top" wrapText="1"/>
      <protection locked="0"/>
    </xf>
    <xf numFmtId="0" fontId="20" fillId="0" borderId="31" xfId="0" applyFont="1" applyBorder="1" applyAlignment="1" applyProtection="1">
      <alignment vertical="top" wrapText="1"/>
    </xf>
    <xf numFmtId="1" fontId="20" fillId="0" borderId="31" xfId="0" applyNumberFormat="1" applyFont="1" applyBorder="1" applyAlignment="1" applyProtection="1">
      <alignment horizontal="right" vertical="top" wrapText="1"/>
    </xf>
    <xf numFmtId="1" fontId="20" fillId="0" borderId="31" xfId="0" applyNumberFormat="1" applyFont="1" applyBorder="1" applyProtection="1"/>
    <xf numFmtId="0" fontId="20" fillId="0" borderId="31" xfId="0" applyFont="1" applyBorder="1" applyProtection="1">
      <protection locked="0"/>
    </xf>
    <xf numFmtId="0" fontId="20" fillId="0" borderId="31" xfId="0" applyFont="1" applyBorder="1" applyProtection="1"/>
    <xf numFmtId="0" fontId="21" fillId="0" borderId="36" xfId="0" applyFont="1" applyBorder="1" applyAlignment="1" applyProtection="1">
      <alignment horizontal="left" vertical="top" wrapText="1"/>
      <protection locked="0"/>
    </xf>
    <xf numFmtId="0" fontId="21" fillId="0" borderId="36" xfId="0" applyFont="1" applyBorder="1" applyAlignment="1" applyProtection="1">
      <alignment horizontal="right" vertical="top" wrapText="1"/>
      <protection locked="0"/>
    </xf>
    <xf numFmtId="0" fontId="21" fillId="0" borderId="36" xfId="0" applyFont="1" applyBorder="1" applyProtection="1">
      <protection locked="0"/>
    </xf>
    <xf numFmtId="0" fontId="20" fillId="0" borderId="36" xfId="0" applyFont="1" applyBorder="1" applyAlignment="1" applyProtection="1">
      <alignment vertical="top" wrapText="1"/>
    </xf>
    <xf numFmtId="1" fontId="20" fillId="0" borderId="36" xfId="0" applyNumberFormat="1" applyFont="1" applyBorder="1" applyAlignment="1" applyProtection="1">
      <alignment horizontal="right" vertical="top" wrapText="1"/>
    </xf>
    <xf numFmtId="1" fontId="20" fillId="0" borderId="36" xfId="0" applyNumberFormat="1" applyFont="1" applyBorder="1" applyProtection="1"/>
    <xf numFmtId="0" fontId="20" fillId="0" borderId="36" xfId="0" applyFont="1" applyBorder="1" applyProtection="1">
      <protection locked="0"/>
    </xf>
    <xf numFmtId="0" fontId="20" fillId="0" borderId="36" xfId="0" applyFont="1" applyBorder="1" applyProtection="1"/>
    <xf numFmtId="0" fontId="21" fillId="0" borderId="38" xfId="0" applyFont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0" fontId="21" fillId="0" borderId="7" xfId="0" applyFont="1" applyBorder="1" applyProtection="1">
      <protection locked="0"/>
    </xf>
    <xf numFmtId="0" fontId="21" fillId="0" borderId="7" xfId="0" applyFont="1" applyBorder="1" applyAlignment="1" applyProtection="1">
      <alignment vertical="center"/>
      <protection locked="0"/>
    </xf>
    <xf numFmtId="0" fontId="20" fillId="0" borderId="7" xfId="0" applyFont="1" applyBorder="1" applyAlignment="1" applyProtection="1">
      <alignment vertical="top" wrapText="1"/>
    </xf>
    <xf numFmtId="0" fontId="21" fillId="0" borderId="7" xfId="0" applyFont="1" applyBorder="1" applyAlignment="1" applyProtection="1">
      <alignment vertical="top" wrapText="1"/>
    </xf>
    <xf numFmtId="1" fontId="20" fillId="0" borderId="7" xfId="0" applyNumberFormat="1" applyFont="1" applyBorder="1" applyAlignment="1" applyProtection="1">
      <alignment horizontal="right" vertical="top" wrapText="1"/>
    </xf>
    <xf numFmtId="1" fontId="20" fillId="0" borderId="7" xfId="0" applyNumberFormat="1" applyFont="1" applyBorder="1" applyProtection="1"/>
    <xf numFmtId="0" fontId="20" fillId="0" borderId="7" xfId="0" applyFont="1" applyBorder="1" applyProtection="1">
      <protection locked="0"/>
    </xf>
    <xf numFmtId="0" fontId="21" fillId="0" borderId="7" xfId="0" applyFont="1" applyBorder="1" applyAlignment="1" applyProtection="1">
      <alignment horizontal="right" vertical="top" wrapText="1"/>
      <protection locked="0"/>
    </xf>
    <xf numFmtId="0" fontId="20" fillId="0" borderId="7" xfId="0" applyFont="1" applyBorder="1" applyProtection="1"/>
    <xf numFmtId="0" fontId="20" fillId="0" borderId="33" xfId="0" applyFont="1" applyBorder="1" applyAlignment="1" applyProtection="1">
      <alignment horizontal="center" vertical="center"/>
      <protection locked="0"/>
    </xf>
    <xf numFmtId="0" fontId="21" fillId="0" borderId="36" xfId="0" applyNumberFormat="1" applyFont="1" applyBorder="1" applyAlignment="1" applyProtection="1">
      <alignment horizontal="right" vertical="top" wrapText="1"/>
      <protection locked="0"/>
    </xf>
    <xf numFmtId="0" fontId="21" fillId="0" borderId="6" xfId="0" applyFont="1" applyBorder="1" applyProtection="1">
      <protection locked="0"/>
    </xf>
    <xf numFmtId="0" fontId="21" fillId="0" borderId="6" xfId="0" applyFont="1" applyBorder="1" applyAlignment="1" applyProtection="1">
      <alignment horizontal="right" vertical="top" wrapText="1"/>
      <protection locked="0"/>
    </xf>
    <xf numFmtId="0" fontId="20" fillId="0" borderId="6" xfId="0" applyFont="1" applyBorder="1" applyAlignment="1" applyProtection="1">
      <alignment vertical="top" wrapText="1"/>
    </xf>
    <xf numFmtId="0" fontId="21" fillId="0" borderId="6" xfId="0" applyFont="1" applyBorder="1" applyAlignment="1" applyProtection="1">
      <alignment vertical="top" wrapText="1"/>
    </xf>
    <xf numFmtId="0" fontId="21" fillId="0" borderId="6" xfId="0" applyNumberFormat="1" applyFont="1" applyBorder="1" applyAlignment="1" applyProtection="1">
      <alignment horizontal="right" vertical="top" wrapText="1"/>
      <protection locked="0"/>
    </xf>
    <xf numFmtId="1" fontId="20" fillId="0" borderId="6" xfId="0" applyNumberFormat="1" applyFont="1" applyBorder="1" applyAlignment="1" applyProtection="1">
      <alignment horizontal="right" vertical="top" wrapText="1"/>
    </xf>
    <xf numFmtId="1" fontId="20" fillId="0" borderId="6" xfId="0" applyNumberFormat="1" applyFont="1" applyBorder="1" applyProtection="1"/>
    <xf numFmtId="0" fontId="20" fillId="0" borderId="6" xfId="0" applyFont="1" applyBorder="1" applyProtection="1">
      <protection locked="0"/>
    </xf>
    <xf numFmtId="0" fontId="20" fillId="0" borderId="6" xfId="0" applyFont="1" applyBorder="1" applyProtection="1"/>
    <xf numFmtId="0" fontId="21" fillId="0" borderId="5" xfId="0" applyFont="1" applyBorder="1" applyAlignment="1" applyProtection="1">
      <alignment horizontal="left" vertical="top" wrapText="1"/>
      <protection locked="0"/>
    </xf>
    <xf numFmtId="0" fontId="21" fillId="0" borderId="5" xfId="0" applyFont="1" applyBorder="1" applyAlignment="1" applyProtection="1">
      <alignment horizontal="right" vertical="top" wrapText="1"/>
      <protection locked="0"/>
    </xf>
    <xf numFmtId="0" fontId="20" fillId="0" borderId="5" xfId="0" applyFont="1" applyBorder="1" applyAlignment="1" applyProtection="1">
      <alignment vertical="top" wrapText="1"/>
    </xf>
    <xf numFmtId="1" fontId="20" fillId="0" borderId="5" xfId="0" applyNumberFormat="1" applyFont="1" applyBorder="1" applyAlignment="1" applyProtection="1">
      <alignment horizontal="right" vertical="top" wrapText="1"/>
    </xf>
    <xf numFmtId="1" fontId="20" fillId="0" borderId="5" xfId="0" applyNumberFormat="1" applyFont="1" applyBorder="1" applyProtection="1"/>
    <xf numFmtId="0" fontId="20" fillId="0" borderId="5" xfId="0" applyFont="1" applyBorder="1" applyProtection="1">
      <protection locked="0"/>
    </xf>
    <xf numFmtId="0" fontId="20" fillId="0" borderId="5" xfId="0" applyFont="1" applyBorder="1" applyProtection="1"/>
    <xf numFmtId="0" fontId="21" fillId="0" borderId="36" xfId="0" applyFont="1" applyBorder="1" applyAlignment="1" applyProtection="1">
      <alignment vertical="top" wrapText="1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 applyProtection="1">
      <alignment horizontal="left" vertical="top" wrapText="1"/>
      <protection locked="0"/>
    </xf>
    <xf numFmtId="0" fontId="21" fillId="0" borderId="45" xfId="0" applyFont="1" applyBorder="1" applyAlignment="1" applyProtection="1">
      <alignment horizontal="center" vertical="center" wrapText="1"/>
      <protection locked="0"/>
    </xf>
    <xf numFmtId="0" fontId="21" fillId="0" borderId="46" xfId="0" applyFont="1" applyBorder="1" applyAlignment="1" applyProtection="1">
      <alignment horizontal="left" vertical="center" wrapText="1"/>
      <protection locked="0"/>
    </xf>
    <xf numFmtId="0" fontId="21" fillId="0" borderId="46" xfId="0" applyFont="1" applyBorder="1" applyAlignment="1" applyProtection="1">
      <alignment horizontal="left" vertical="top" wrapText="1"/>
      <protection locked="0"/>
    </xf>
    <xf numFmtId="0" fontId="21" fillId="0" borderId="46" xfId="0" applyFont="1" applyBorder="1" applyAlignment="1" applyProtection="1">
      <alignment horizontal="right" vertical="top" wrapText="1"/>
      <protection locked="0"/>
    </xf>
    <xf numFmtId="0" fontId="21" fillId="0" borderId="46" xfId="0" applyFont="1" applyBorder="1" applyProtection="1">
      <protection locked="0"/>
    </xf>
    <xf numFmtId="0" fontId="20" fillId="0" borderId="46" xfId="0" applyFont="1" applyBorder="1" applyAlignment="1" applyProtection="1">
      <alignment vertical="top" wrapText="1"/>
    </xf>
    <xf numFmtId="0" fontId="21" fillId="0" borderId="46" xfId="0" applyFont="1" applyBorder="1" applyAlignment="1" applyProtection="1">
      <alignment vertical="top" wrapText="1"/>
    </xf>
    <xf numFmtId="1" fontId="20" fillId="0" borderId="46" xfId="0" applyNumberFormat="1" applyFont="1" applyBorder="1" applyAlignment="1" applyProtection="1">
      <alignment horizontal="right" vertical="top" wrapText="1"/>
    </xf>
    <xf numFmtId="1" fontId="20" fillId="0" borderId="46" xfId="0" applyNumberFormat="1" applyFont="1" applyBorder="1" applyProtection="1"/>
    <xf numFmtId="0" fontId="20" fillId="0" borderId="46" xfId="0" applyFont="1" applyBorder="1" applyProtection="1">
      <protection locked="0"/>
    </xf>
    <xf numFmtId="0" fontId="20" fillId="0" borderId="46" xfId="0" applyFont="1" applyBorder="1" applyProtection="1"/>
    <xf numFmtId="0" fontId="20" fillId="0" borderId="37" xfId="0" applyFont="1" applyBorder="1" applyAlignment="1" applyProtection="1">
      <alignment horizontal="center" vertical="center" wrapText="1"/>
    </xf>
    <xf numFmtId="0" fontId="21" fillId="0" borderId="28" xfId="0" applyFont="1" applyBorder="1" applyAlignment="1" applyProtection="1">
      <alignment vertical="top" wrapText="1"/>
      <protection locked="0"/>
    </xf>
    <xf numFmtId="0" fontId="21" fillId="0" borderId="28" xfId="0" applyFont="1" applyBorder="1" applyAlignment="1" applyProtection="1">
      <alignment horizontal="left" vertical="top" wrapText="1"/>
      <protection locked="0"/>
    </xf>
    <xf numFmtId="0" fontId="21" fillId="0" borderId="28" xfId="0" applyFont="1" applyBorder="1" applyAlignment="1" applyProtection="1">
      <alignment horizontal="right" wrapText="1"/>
      <protection locked="0"/>
    </xf>
    <xf numFmtId="0" fontId="21" fillId="0" borderId="28" xfId="0" applyFont="1" applyBorder="1" applyAlignment="1" applyProtection="1">
      <alignment horizontal="right" vertical="top" wrapText="1"/>
      <protection locked="0"/>
    </xf>
    <xf numFmtId="0" fontId="20" fillId="0" borderId="29" xfId="0" applyFont="1" applyBorder="1" applyAlignment="1" applyProtection="1">
      <alignment vertical="center"/>
      <protection locked="0"/>
    </xf>
    <xf numFmtId="0" fontId="21" fillId="0" borderId="27" xfId="0" applyFont="1" applyBorder="1" applyAlignment="1" applyProtection="1">
      <alignment vertical="center"/>
      <protection locked="0"/>
    </xf>
    <xf numFmtId="0" fontId="21" fillId="0" borderId="31" xfId="0" applyFont="1" applyBorder="1" applyAlignment="1" applyProtection="1">
      <alignment horizontal="right" wrapText="1"/>
      <protection locked="0"/>
    </xf>
    <xf numFmtId="0" fontId="21" fillId="0" borderId="36" xfId="0" applyFont="1" applyBorder="1" applyAlignment="1" applyProtection="1">
      <alignment horizontal="right" wrapText="1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38" xfId="0" applyFont="1" applyBorder="1" applyAlignment="1" applyProtection="1">
      <alignment vertical="center" wrapText="1"/>
      <protection locked="0"/>
    </xf>
    <xf numFmtId="0" fontId="20" fillId="0" borderId="37" xfId="0" applyFont="1" applyBorder="1" applyAlignment="1" applyProtection="1">
      <alignment vertical="center" wrapText="1"/>
    </xf>
    <xf numFmtId="0" fontId="20" fillId="0" borderId="39" xfId="0" applyFont="1" applyBorder="1" applyProtection="1"/>
    <xf numFmtId="0" fontId="20" fillId="0" borderId="43" xfId="0" applyFont="1" applyBorder="1" applyProtection="1"/>
    <xf numFmtId="0" fontId="21" fillId="0" borderId="5" xfId="0" applyFont="1" applyBorder="1" applyAlignment="1" applyProtection="1">
      <alignment horizontal="right" wrapText="1"/>
      <protection locked="0"/>
    </xf>
    <xf numFmtId="0" fontId="20" fillId="0" borderId="44" xfId="0" applyFont="1" applyBorder="1" applyProtection="1"/>
    <xf numFmtId="0" fontId="21" fillId="0" borderId="30" xfId="0" applyFont="1" applyBorder="1" applyAlignment="1" applyProtection="1">
      <alignment horizontal="center" vertical="center"/>
      <protection locked="0"/>
    </xf>
    <xf numFmtId="0" fontId="21" fillId="0" borderId="31" xfId="0" applyFont="1" applyBorder="1" applyAlignment="1" applyProtection="1">
      <alignment horizontal="center" vertical="center" wrapText="1"/>
      <protection locked="0"/>
    </xf>
    <xf numFmtId="0" fontId="20" fillId="0" borderId="39" xfId="0" applyFont="1" applyBorder="1" applyAlignment="1" applyProtection="1">
      <alignment horizontal="center" vertical="center" wrapText="1"/>
    </xf>
    <xf numFmtId="0" fontId="21" fillId="0" borderId="28" xfId="0" applyFont="1" applyBorder="1" applyAlignment="1" applyProtection="1">
      <alignment horizontal="center" vertical="center" wrapText="1"/>
      <protection locked="0"/>
    </xf>
    <xf numFmtId="0" fontId="20" fillId="0" borderId="29" xfId="0" applyFont="1" applyBorder="1" applyAlignment="1" applyProtection="1">
      <alignment horizontal="center" vertical="center"/>
      <protection locked="0"/>
    </xf>
    <xf numFmtId="0" fontId="21" fillId="0" borderId="47" xfId="0" applyFont="1" applyBorder="1" applyAlignment="1" applyProtection="1">
      <alignment horizontal="center" vertical="center"/>
      <protection locked="0"/>
    </xf>
    <xf numFmtId="0" fontId="21" fillId="0" borderId="48" xfId="0" applyFont="1" applyBorder="1" applyAlignment="1" applyProtection="1">
      <alignment vertical="center" wrapText="1"/>
      <protection locked="0"/>
    </xf>
    <xf numFmtId="0" fontId="21" fillId="0" borderId="48" xfId="0" applyFont="1" applyBorder="1" applyAlignment="1" applyProtection="1">
      <alignment horizontal="left" vertical="top" wrapText="1"/>
      <protection locked="0"/>
    </xf>
    <xf numFmtId="0" fontId="21" fillId="0" borderId="48" xfId="0" applyFont="1" applyBorder="1" applyAlignment="1" applyProtection="1">
      <alignment horizontal="right" vertical="top" wrapText="1"/>
      <protection locked="0"/>
    </xf>
    <xf numFmtId="0" fontId="20" fillId="0" borderId="48" xfId="0" applyFont="1" applyBorder="1" applyAlignment="1" applyProtection="1">
      <alignment vertical="top" wrapText="1"/>
    </xf>
    <xf numFmtId="0" fontId="21" fillId="0" borderId="48" xfId="0" applyFont="1" applyBorder="1" applyAlignment="1" applyProtection="1">
      <alignment vertical="top" wrapText="1"/>
    </xf>
    <xf numFmtId="1" fontId="20" fillId="0" borderId="48" xfId="0" applyNumberFormat="1" applyFont="1" applyBorder="1" applyAlignment="1" applyProtection="1">
      <alignment horizontal="right" vertical="top" wrapText="1"/>
    </xf>
    <xf numFmtId="1" fontId="20" fillId="0" borderId="48" xfId="0" applyNumberFormat="1" applyFont="1" applyBorder="1" applyProtection="1"/>
    <xf numFmtId="0" fontId="20" fillId="0" borderId="48" xfId="0" applyFont="1" applyBorder="1" applyProtection="1">
      <protection locked="0"/>
    </xf>
    <xf numFmtId="0" fontId="20" fillId="0" borderId="48" xfId="0" applyFont="1" applyBorder="1" applyProtection="1"/>
    <xf numFmtId="0" fontId="21" fillId="0" borderId="48" xfId="0" applyFont="1" applyBorder="1" applyProtection="1">
      <protection locked="0"/>
    </xf>
    <xf numFmtId="0" fontId="20" fillId="0" borderId="49" xfId="0" applyFont="1" applyBorder="1" applyAlignment="1" applyProtection="1">
      <alignment horizontal="center" vertical="center"/>
      <protection locked="0"/>
    </xf>
    <xf numFmtId="0" fontId="21" fillId="0" borderId="48" xfId="0" applyFont="1" applyBorder="1" applyAlignment="1" applyProtection="1">
      <alignment horizontal="center" vertical="center" wrapText="1"/>
      <protection locked="0"/>
    </xf>
    <xf numFmtId="0" fontId="20" fillId="0" borderId="49" xfId="0" applyFont="1" applyBorder="1" applyAlignment="1" applyProtection="1">
      <alignment horizontal="center" wrapText="1"/>
    </xf>
    <xf numFmtId="0" fontId="21" fillId="0" borderId="35" xfId="0" applyFont="1" applyBorder="1" applyAlignment="1" applyProtection="1">
      <alignment horizontal="center" vertical="center"/>
      <protection locked="0"/>
    </xf>
    <xf numFmtId="0" fontId="21" fillId="0" borderId="36" xfId="0" applyFont="1" applyBorder="1" applyAlignment="1" applyProtection="1">
      <alignment horizontal="center" vertical="center" wrapText="1"/>
      <protection locked="0"/>
    </xf>
    <xf numFmtId="0" fontId="20" fillId="0" borderId="40" xfId="0" applyFont="1" applyBorder="1" applyAlignment="1" applyProtection="1">
      <alignment horizontal="center" wrapText="1"/>
    </xf>
    <xf numFmtId="0" fontId="21" fillId="0" borderId="47" xfId="0" applyFont="1" applyBorder="1" applyAlignment="1" applyProtection="1">
      <alignment vertical="center"/>
      <protection locked="0"/>
    </xf>
    <xf numFmtId="0" fontId="21" fillId="0" borderId="48" xfId="0" applyFont="1" applyBorder="1" applyAlignment="1" applyProtection="1">
      <alignment horizontal="center" vertical="top" wrapText="1"/>
      <protection locked="0"/>
    </xf>
    <xf numFmtId="0" fontId="21" fillId="0" borderId="48" xfId="0" applyFont="1" applyBorder="1" applyAlignment="1" applyProtection="1">
      <alignment horizontal="right" wrapText="1"/>
      <protection locked="0"/>
    </xf>
    <xf numFmtId="0" fontId="20" fillId="0" borderId="49" xfId="0" applyFont="1" applyBorder="1" applyAlignment="1" applyProtection="1">
      <alignment horizontal="right" vertical="center" wrapText="1"/>
    </xf>
    <xf numFmtId="0" fontId="21" fillId="0" borderId="6" xfId="0" applyFont="1" applyBorder="1" applyAlignment="1" applyProtection="1">
      <alignment vertical="center"/>
      <protection locked="0"/>
    </xf>
    <xf numFmtId="0" fontId="20" fillId="0" borderId="6" xfId="0" applyFont="1" applyBorder="1" applyAlignment="1" applyProtection="1">
      <alignment horizontal="left" vertical="top" wrapText="1"/>
    </xf>
    <xf numFmtId="0" fontId="21" fillId="0" borderId="6" xfId="0" applyFont="1" applyBorder="1" applyAlignment="1" applyProtection="1">
      <alignment horizontal="right" vertical="top" wrapText="1"/>
    </xf>
    <xf numFmtId="165" fontId="20" fillId="0" borderId="6" xfId="0" applyNumberFormat="1" applyFont="1" applyBorder="1" applyAlignment="1" applyProtection="1">
      <alignment horizontal="right" vertical="top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23" fillId="0" borderId="5" xfId="0" applyFont="1" applyBorder="1"/>
    <xf numFmtId="0" fontId="2" fillId="0" borderId="0" xfId="0" applyFont="1" applyAlignment="1" applyProtection="1">
      <alignment wrapText="1"/>
    </xf>
    <xf numFmtId="0" fontId="5" fillId="0" borderId="2" xfId="0" applyFont="1" applyBorder="1" applyAlignment="1" applyProtection="1">
      <alignment horizontal="center" vertical="center" wrapText="1"/>
    </xf>
    <xf numFmtId="2" fontId="2" fillId="0" borderId="6" xfId="0" applyNumberFormat="1" applyFont="1" applyBorder="1" applyAlignment="1" applyProtection="1">
      <alignment wrapText="1"/>
    </xf>
    <xf numFmtId="0" fontId="2" fillId="0" borderId="0" xfId="0" applyFont="1" applyAlignment="1" applyProtection="1">
      <protection locked="0"/>
    </xf>
    <xf numFmtId="0" fontId="4" fillId="0" borderId="0" xfId="0" applyFont="1"/>
    <xf numFmtId="0" fontId="5" fillId="4" borderId="2" xfId="0" applyFont="1" applyFill="1" applyBorder="1" applyAlignment="1" applyProtection="1">
      <alignment horizontal="center" wrapText="1"/>
    </xf>
    <xf numFmtId="2" fontId="3" fillId="0" borderId="2" xfId="0" applyNumberFormat="1" applyFont="1" applyBorder="1" applyAlignment="1" applyProtection="1">
      <alignment wrapText="1"/>
    </xf>
    <xf numFmtId="1" fontId="4" fillId="2" borderId="2" xfId="0" applyNumberFormat="1" applyFont="1" applyFill="1" applyBorder="1" applyAlignment="1" applyProtection="1">
      <alignment horizontal="center"/>
    </xf>
    <xf numFmtId="1" fontId="4" fillId="2" borderId="2" xfId="0" applyNumberFormat="1" applyFont="1" applyFill="1" applyBorder="1" applyAlignment="1">
      <alignment horizontal="center"/>
    </xf>
    <xf numFmtId="0" fontId="21" fillId="4" borderId="5" xfId="0" applyFont="1" applyFill="1" applyBorder="1" applyAlignment="1" applyProtection="1">
      <alignment horizontal="center" wrapText="1"/>
    </xf>
    <xf numFmtId="0" fontId="21" fillId="4" borderId="6" xfId="0" applyFont="1" applyFill="1" applyBorder="1" applyAlignment="1" applyProtection="1">
      <alignment horizontal="left" wrapText="1"/>
    </xf>
    <xf numFmtId="0" fontId="8" fillId="0" borderId="0" xfId="0" applyFont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2" fontId="8" fillId="0" borderId="2" xfId="0" applyNumberFormat="1" applyFont="1" applyBorder="1" applyAlignment="1">
      <alignment wrapText="1"/>
    </xf>
    <xf numFmtId="2" fontId="9" fillId="0" borderId="2" xfId="0" applyNumberFormat="1" applyFont="1" applyBorder="1" applyAlignment="1">
      <alignment wrapText="1"/>
    </xf>
    <xf numFmtId="2" fontId="12" fillId="0" borderId="0" xfId="0" applyNumberFormat="1" applyFont="1" applyAlignment="1" applyProtection="1">
      <protection locked="0"/>
    </xf>
    <xf numFmtId="0" fontId="5" fillId="3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wrapText="1"/>
    </xf>
    <xf numFmtId="0" fontId="2" fillId="0" borderId="2" xfId="0" applyFont="1" applyBorder="1" applyAlignment="1" applyProtection="1">
      <alignment wrapText="1"/>
    </xf>
    <xf numFmtId="0" fontId="5" fillId="0" borderId="2" xfId="0" applyFont="1" applyBorder="1" applyAlignment="1" applyProtection="1">
      <alignment horizontal="left" wrapText="1"/>
    </xf>
    <xf numFmtId="0" fontId="41" fillId="0" borderId="2" xfId="0" applyFont="1" applyBorder="1" applyAlignment="1" applyProtection="1">
      <alignment horizontal="center" wrapText="1"/>
    </xf>
    <xf numFmtId="2" fontId="2" fillId="0" borderId="2" xfId="0" applyNumberFormat="1" applyFont="1" applyBorder="1" applyAlignment="1" applyProtection="1">
      <alignment horizontal="right" wrapText="1"/>
    </xf>
    <xf numFmtId="2" fontId="9" fillId="0" borderId="0" xfId="0" applyNumberFormat="1" applyFont="1" applyBorder="1" applyAlignment="1">
      <alignment wrapText="1"/>
    </xf>
    <xf numFmtId="165" fontId="2" fillId="2" borderId="2" xfId="0" applyNumberFormat="1" applyFont="1" applyFill="1" applyBorder="1" applyAlignment="1" applyProtection="1">
      <alignment horizontal="center" wrapText="1"/>
    </xf>
    <xf numFmtId="0" fontId="18" fillId="0" borderId="22" xfId="5" applyFont="1" applyBorder="1" applyAlignment="1" applyProtection="1">
      <alignment horizontal="left"/>
    </xf>
    <xf numFmtId="0" fontId="14" fillId="0" borderId="22" xfId="5" applyFont="1" applyBorder="1" applyAlignment="1" applyProtection="1">
      <alignment horizontal="left" wrapText="1"/>
    </xf>
    <xf numFmtId="0" fontId="14" fillId="0" borderId="22" xfId="5" applyFont="1" applyBorder="1" applyAlignment="1" applyProtection="1">
      <alignment horizontal="left"/>
    </xf>
    <xf numFmtId="0" fontId="18" fillId="0" borderId="22" xfId="5" applyFont="1" applyBorder="1" applyAlignment="1" applyProtection="1">
      <alignment horizontal="left" wrapText="1"/>
    </xf>
    <xf numFmtId="0" fontId="18" fillId="0" borderId="22" xfId="5" applyFont="1" applyBorder="1" applyAlignment="1" applyProtection="1">
      <alignment wrapText="1"/>
    </xf>
    <xf numFmtId="0" fontId="3" fillId="0" borderId="0" xfId="3" applyFont="1" applyBorder="1" applyAlignment="1" applyProtection="1">
      <alignment wrapText="1"/>
      <protection locked="0"/>
    </xf>
    <xf numFmtId="0" fontId="11" fillId="0" borderId="0" xfId="5" applyFont="1" applyBorder="1" applyAlignment="1" applyProtection="1">
      <alignment horizontal="center"/>
      <protection locked="0"/>
    </xf>
    <xf numFmtId="0" fontId="18" fillId="0" borderId="22" xfId="5" applyFont="1" applyBorder="1" applyAlignment="1" applyProtection="1">
      <alignment wrapText="1"/>
      <protection locked="0"/>
    </xf>
    <xf numFmtId="0" fontId="29" fillId="0" borderId="2" xfId="0" applyFont="1" applyBorder="1" applyAlignment="1" applyProtection="1">
      <alignment horizontal="center"/>
    </xf>
    <xf numFmtId="0" fontId="29" fillId="0" borderId="2" xfId="0" applyFont="1" applyBorder="1" applyAlignment="1" applyProtection="1">
      <alignment horizontal="center"/>
      <protection locked="0"/>
    </xf>
    <xf numFmtId="0" fontId="29" fillId="0" borderId="5" xfId="0" applyFont="1" applyBorder="1" applyAlignment="1" applyProtection="1">
      <alignment horizontal="center"/>
      <protection locked="0"/>
    </xf>
    <xf numFmtId="0" fontId="29" fillId="0" borderId="5" xfId="0" applyFont="1" applyBorder="1" applyAlignment="1" applyProtection="1">
      <alignment horizontal="center"/>
    </xf>
    <xf numFmtId="0" fontId="21" fillId="0" borderId="30" xfId="0" applyFont="1" applyBorder="1" applyAlignment="1" applyProtection="1">
      <alignment horizontal="center" vertical="center"/>
      <protection locked="0"/>
    </xf>
    <xf numFmtId="0" fontId="21" fillId="0" borderId="32" xfId="0" applyFont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 locked="0"/>
    </xf>
    <xf numFmtId="0" fontId="21" fillId="0" borderId="31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0" fontId="21" fillId="0" borderId="29" xfId="0" applyFont="1" applyBorder="1" applyAlignment="1" applyProtection="1">
      <alignment horizontal="center" vertical="center"/>
      <protection locked="0"/>
    </xf>
    <xf numFmtId="0" fontId="21" fillId="0" borderId="33" xfId="0" applyFont="1" applyBorder="1" applyAlignment="1" applyProtection="1">
      <alignment horizontal="center" vertical="center"/>
      <protection locked="0"/>
    </xf>
    <xf numFmtId="0" fontId="21" fillId="0" borderId="37" xfId="0" applyFont="1" applyBorder="1" applyAlignment="1" applyProtection="1">
      <alignment horizontal="center" vertical="center"/>
      <protection locked="0"/>
    </xf>
    <xf numFmtId="0" fontId="21" fillId="0" borderId="35" xfId="0" applyFont="1" applyBorder="1" applyAlignment="1" applyProtection="1">
      <alignment horizontal="center" vertical="center"/>
      <protection locked="0"/>
    </xf>
    <xf numFmtId="0" fontId="21" fillId="0" borderId="31" xfId="0" applyFont="1" applyBorder="1" applyAlignment="1" applyProtection="1">
      <alignment horizontal="center" vertical="center" wrapText="1"/>
      <protection locked="0"/>
    </xf>
    <xf numFmtId="0" fontId="21" fillId="0" borderId="36" xfId="0" applyFont="1" applyBorder="1" applyAlignment="1" applyProtection="1">
      <alignment horizontal="center" vertical="center" wrapText="1"/>
      <protection locked="0"/>
    </xf>
    <xf numFmtId="0" fontId="20" fillId="0" borderId="29" xfId="0" applyFont="1" applyBorder="1" applyAlignment="1" applyProtection="1">
      <alignment horizontal="center" vertical="center"/>
      <protection locked="0"/>
    </xf>
    <xf numFmtId="0" fontId="20" fillId="0" borderId="37" xfId="0" applyFont="1" applyBorder="1" applyAlignment="1" applyProtection="1">
      <alignment horizontal="center" vertical="center"/>
      <protection locked="0"/>
    </xf>
    <xf numFmtId="0" fontId="20" fillId="0" borderId="39" xfId="0" applyFont="1" applyBorder="1" applyAlignment="1" applyProtection="1">
      <alignment horizontal="center" vertical="center"/>
      <protection locked="0"/>
    </xf>
    <xf numFmtId="0" fontId="20" fillId="0" borderId="40" xfId="0" applyFont="1" applyBorder="1" applyAlignment="1" applyProtection="1">
      <alignment horizontal="center" vertical="center"/>
      <protection locked="0"/>
    </xf>
    <xf numFmtId="0" fontId="21" fillId="0" borderId="41" xfId="0" applyFont="1" applyBorder="1" applyAlignment="1" applyProtection="1">
      <alignment horizontal="center"/>
      <protection locked="0"/>
    </xf>
    <xf numFmtId="0" fontId="21" fillId="0" borderId="32" xfId="0" applyFont="1" applyBorder="1" applyAlignment="1" applyProtection="1">
      <alignment horizontal="center"/>
      <protection locked="0"/>
    </xf>
    <xf numFmtId="0" fontId="21" fillId="0" borderId="34" xfId="0" applyFont="1" applyBorder="1" applyAlignment="1" applyProtection="1">
      <alignment horizontal="center"/>
      <protection locked="0"/>
    </xf>
    <xf numFmtId="0" fontId="21" fillId="0" borderId="6" xfId="0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horizontal="center" vertical="center" wrapText="1"/>
      <protection locked="0"/>
    </xf>
    <xf numFmtId="0" fontId="20" fillId="0" borderId="42" xfId="0" applyFont="1" applyBorder="1" applyAlignment="1" applyProtection="1">
      <alignment horizontal="center" vertical="center" wrapText="1"/>
    </xf>
    <xf numFmtId="0" fontId="20" fillId="0" borderId="43" xfId="0" applyFont="1" applyBorder="1" applyAlignment="1" applyProtection="1">
      <alignment horizontal="center" vertical="center" wrapText="1"/>
    </xf>
    <xf numFmtId="0" fontId="20" fillId="0" borderId="44" xfId="0" applyFont="1" applyBorder="1" applyAlignment="1" applyProtection="1">
      <alignment horizontal="center" vertical="center" wrapText="1"/>
    </xf>
    <xf numFmtId="0" fontId="21" fillId="0" borderId="31" xfId="0" applyFont="1" applyBorder="1" applyAlignment="1" applyProtection="1">
      <alignment horizontal="center" vertical="top" wrapText="1"/>
      <protection locked="0"/>
    </xf>
    <xf numFmtId="0" fontId="21" fillId="0" borderId="36" xfId="0" applyFont="1" applyBorder="1" applyAlignment="1" applyProtection="1">
      <alignment horizontal="center" vertical="top" wrapText="1"/>
      <protection locked="0"/>
    </xf>
    <xf numFmtId="0" fontId="20" fillId="0" borderId="39" xfId="0" applyFont="1" applyBorder="1" applyAlignment="1" applyProtection="1">
      <alignment horizontal="center" vertical="center" wrapText="1"/>
    </xf>
    <xf numFmtId="0" fontId="20" fillId="0" borderId="40" xfId="0" applyFont="1" applyBorder="1" applyAlignment="1" applyProtection="1">
      <alignment horizontal="center" vertical="center" wrapText="1"/>
    </xf>
    <xf numFmtId="0" fontId="20" fillId="0" borderId="29" xfId="0" applyFont="1" applyBorder="1" applyAlignment="1" applyProtection="1">
      <alignment horizontal="center" vertical="center" wrapText="1"/>
    </xf>
    <xf numFmtId="0" fontId="20" fillId="0" borderId="37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top" wrapText="1"/>
      <protection locked="0"/>
    </xf>
    <xf numFmtId="0" fontId="21" fillId="0" borderId="5" xfId="0" applyFont="1" applyBorder="1" applyAlignment="1" applyProtection="1">
      <alignment horizontal="center" vertical="top" wrapText="1"/>
      <protection locked="0"/>
    </xf>
    <xf numFmtId="0" fontId="20" fillId="0" borderId="14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20" fillId="0" borderId="12" xfId="0" applyFont="1" applyBorder="1" applyAlignment="1" applyProtection="1">
      <alignment horizontal="center" vertical="center" wrapText="1"/>
    </xf>
    <xf numFmtId="0" fontId="21" fillId="0" borderId="30" xfId="0" applyFont="1" applyBorder="1" applyAlignment="1" applyProtection="1">
      <alignment horizontal="center" vertical="center" wrapText="1"/>
      <protection locked="0"/>
    </xf>
    <xf numFmtId="0" fontId="21" fillId="0" borderId="35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20" fillId="0" borderId="16" xfId="0" applyFont="1" applyBorder="1" applyProtection="1"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23" fillId="0" borderId="0" xfId="0" applyFont="1" applyAlignment="1" applyProtection="1">
      <protection locked="0"/>
    </xf>
    <xf numFmtId="0" fontId="23" fillId="0" borderId="0" xfId="0" applyFont="1" applyAlignment="1"/>
    <xf numFmtId="0" fontId="23" fillId="0" borderId="0" xfId="0" applyFont="1" applyAlignment="1" applyProtection="1">
      <alignment horizontal="center"/>
      <protection locked="0"/>
    </xf>
    <xf numFmtId="0" fontId="20" fillId="0" borderId="16" xfId="0" applyFont="1" applyBorder="1" applyProtection="1"/>
    <xf numFmtId="0" fontId="21" fillId="0" borderId="16" xfId="0" applyFont="1" applyBorder="1" applyAlignment="1" applyProtection="1">
      <alignment horizontal="center"/>
    </xf>
    <xf numFmtId="0" fontId="24" fillId="0" borderId="0" xfId="0" applyFont="1" applyBorder="1" applyAlignment="1">
      <alignment horizontal="center"/>
    </xf>
    <xf numFmtId="0" fontId="24" fillId="0" borderId="15" xfId="0" applyFont="1" applyBorder="1" applyAlignment="1">
      <alignment wrapText="1"/>
    </xf>
    <xf numFmtId="0" fontId="24" fillId="0" borderId="16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21" fillId="0" borderId="5" xfId="0" applyNumberFormat="1" applyFont="1" applyFill="1" applyBorder="1" applyAlignment="1" applyProtection="1">
      <alignment horizontal="center" wrapText="1"/>
    </xf>
    <xf numFmtId="0" fontId="21" fillId="0" borderId="6" xfId="0" applyNumberFormat="1" applyFont="1" applyFill="1" applyBorder="1" applyAlignment="1" applyProtection="1">
      <alignment horizontal="center" wrapText="1"/>
    </xf>
    <xf numFmtId="0" fontId="2" fillId="0" borderId="5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center" wrapText="1"/>
    </xf>
    <xf numFmtId="0" fontId="21" fillId="4" borderId="5" xfId="0" applyFont="1" applyFill="1" applyBorder="1" applyAlignment="1" applyProtection="1">
      <alignment horizontal="center" wrapText="1"/>
    </xf>
    <xf numFmtId="0" fontId="21" fillId="4" borderId="6" xfId="0" applyFont="1" applyFill="1" applyBorder="1" applyAlignment="1" applyProtection="1">
      <alignment horizont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0" fontId="4" fillId="0" borderId="0" xfId="0" applyFont="1" applyFill="1" applyAlignment="1"/>
    <xf numFmtId="0" fontId="4" fillId="0" borderId="0" xfId="0" applyFont="1" applyFill="1" applyAlignment="1">
      <alignment wrapText="1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 wrapText="1"/>
    </xf>
    <xf numFmtId="0" fontId="3" fillId="0" borderId="0" xfId="0" applyFont="1" applyFill="1" applyAlignment="1" applyProtection="1">
      <alignment horizontal="center" wrapText="1"/>
      <protection locked="0"/>
    </xf>
    <xf numFmtId="0" fontId="21" fillId="0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2" fillId="4" borderId="5" xfId="1" applyFont="1" applyFill="1" applyBorder="1" applyAlignment="1" applyProtection="1">
      <alignment horizontal="right" vertical="center" wrapText="1"/>
    </xf>
    <xf numFmtId="0" fontId="2" fillId="4" borderId="6" xfId="1" applyFont="1" applyFill="1" applyBorder="1" applyAlignment="1" applyProtection="1">
      <alignment horizontal="right" vertical="center" wrapText="1"/>
    </xf>
    <xf numFmtId="0" fontId="16" fillId="0" borderId="2" xfId="0" applyNumberFormat="1" applyFont="1" applyFill="1" applyBorder="1" applyAlignment="1" applyProtection="1">
      <alignment horizontal="center" vertical="center" wrapText="1"/>
    </xf>
    <xf numFmtId="0" fontId="21" fillId="4" borderId="5" xfId="0" applyFont="1" applyFill="1" applyBorder="1" applyAlignment="1" applyProtection="1">
      <alignment horizontal="left" wrapText="1"/>
    </xf>
    <xf numFmtId="0" fontId="21" fillId="4" borderId="6" xfId="0" applyFont="1" applyFill="1" applyBorder="1" applyAlignment="1" applyProtection="1">
      <alignment horizontal="left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center" wrapText="1"/>
    </xf>
    <xf numFmtId="0" fontId="21" fillId="4" borderId="5" xfId="0" applyFont="1" applyFill="1" applyBorder="1" applyAlignment="1" applyProtection="1">
      <alignment horizontal="center" vertical="center" wrapText="1"/>
    </xf>
    <xf numFmtId="0" fontId="21" fillId="4" borderId="6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13" fillId="0" borderId="0" xfId="0" applyFont="1" applyBorder="1" applyAlignment="1" applyProtection="1">
      <protection locked="0"/>
    </xf>
    <xf numFmtId="0" fontId="8" fillId="0" borderId="2" xfId="0" applyFont="1" applyFill="1" applyBorder="1" applyAlignment="1" applyProtection="1">
      <alignment horizontal="center" vertical="center" wrapText="1"/>
    </xf>
    <xf numFmtId="10" fontId="8" fillId="0" borderId="2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10" fillId="0" borderId="0" xfId="0" applyFont="1" applyAlignment="1"/>
    <xf numFmtId="0" fontId="9" fillId="0" borderId="0" xfId="0" applyFont="1" applyFill="1" applyBorder="1" applyAlignment="1"/>
    <xf numFmtId="0" fontId="9" fillId="0" borderId="1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protection locked="0"/>
    </xf>
  </cellXfs>
  <cellStyles count="7">
    <cellStyle name="Excel Built-in Normal" xfId="6"/>
    <cellStyle name="Обычный" xfId="0" builtinId="0"/>
    <cellStyle name="Обычный 2" xfId="4"/>
    <cellStyle name="Обычный 2 2" xfId="5"/>
    <cellStyle name="Обычный_Берсуат Ал 01,01,2009" xfId="3"/>
    <cellStyle name="Обычный_нш 149 январь2009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topLeftCell="A7" workbookViewId="0">
      <selection activeCell="R29" sqref="R29"/>
    </sheetView>
  </sheetViews>
  <sheetFormatPr defaultRowHeight="12.75"/>
  <cols>
    <col min="1" max="9" width="9.140625" style="107"/>
    <col min="10" max="10" width="0.140625" style="107" customWidth="1"/>
    <col min="11" max="12" width="9.140625" style="107"/>
    <col min="13" max="13" width="9" style="107" customWidth="1"/>
    <col min="14" max="14" width="9" style="107" hidden="1" customWidth="1"/>
    <col min="15" max="15" width="9.140625" style="107" hidden="1" customWidth="1"/>
    <col min="16" max="265" width="9.140625" style="107"/>
    <col min="266" max="266" width="0.140625" style="107" customWidth="1"/>
    <col min="267" max="268" width="9.140625" style="107"/>
    <col min="269" max="269" width="9" style="107" customWidth="1"/>
    <col min="270" max="271" width="0" style="107" hidden="1" customWidth="1"/>
    <col min="272" max="521" width="9.140625" style="107"/>
    <col min="522" max="522" width="0.140625" style="107" customWidth="1"/>
    <col min="523" max="524" width="9.140625" style="107"/>
    <col min="525" max="525" width="9" style="107" customWidth="1"/>
    <col min="526" max="527" width="0" style="107" hidden="1" customWidth="1"/>
    <col min="528" max="777" width="9.140625" style="107"/>
    <col min="778" max="778" width="0.140625" style="107" customWidth="1"/>
    <col min="779" max="780" width="9.140625" style="107"/>
    <col min="781" max="781" width="9" style="107" customWidth="1"/>
    <col min="782" max="783" width="0" style="107" hidden="1" customWidth="1"/>
    <col min="784" max="1033" width="9.140625" style="107"/>
    <col min="1034" max="1034" width="0.140625" style="107" customWidth="1"/>
    <col min="1035" max="1036" width="9.140625" style="107"/>
    <col min="1037" max="1037" width="9" style="107" customWidth="1"/>
    <col min="1038" max="1039" width="0" style="107" hidden="1" customWidth="1"/>
    <col min="1040" max="1289" width="9.140625" style="107"/>
    <col min="1290" max="1290" width="0.140625" style="107" customWidth="1"/>
    <col min="1291" max="1292" width="9.140625" style="107"/>
    <col min="1293" max="1293" width="9" style="107" customWidth="1"/>
    <col min="1294" max="1295" width="0" style="107" hidden="1" customWidth="1"/>
    <col min="1296" max="1545" width="9.140625" style="107"/>
    <col min="1546" max="1546" width="0.140625" style="107" customWidth="1"/>
    <col min="1547" max="1548" width="9.140625" style="107"/>
    <col min="1549" max="1549" width="9" style="107" customWidth="1"/>
    <col min="1550" max="1551" width="0" style="107" hidden="1" customWidth="1"/>
    <col min="1552" max="1801" width="9.140625" style="107"/>
    <col min="1802" max="1802" width="0.140625" style="107" customWidth="1"/>
    <col min="1803" max="1804" width="9.140625" style="107"/>
    <col min="1805" max="1805" width="9" style="107" customWidth="1"/>
    <col min="1806" max="1807" width="0" style="107" hidden="1" customWidth="1"/>
    <col min="1808" max="2057" width="9.140625" style="107"/>
    <col min="2058" max="2058" width="0.140625" style="107" customWidth="1"/>
    <col min="2059" max="2060" width="9.140625" style="107"/>
    <col min="2061" max="2061" width="9" style="107" customWidth="1"/>
    <col min="2062" max="2063" width="0" style="107" hidden="1" customWidth="1"/>
    <col min="2064" max="2313" width="9.140625" style="107"/>
    <col min="2314" max="2314" width="0.140625" style="107" customWidth="1"/>
    <col min="2315" max="2316" width="9.140625" style="107"/>
    <col min="2317" max="2317" width="9" style="107" customWidth="1"/>
    <col min="2318" max="2319" width="0" style="107" hidden="1" customWidth="1"/>
    <col min="2320" max="2569" width="9.140625" style="107"/>
    <col min="2570" max="2570" width="0.140625" style="107" customWidth="1"/>
    <col min="2571" max="2572" width="9.140625" style="107"/>
    <col min="2573" max="2573" width="9" style="107" customWidth="1"/>
    <col min="2574" max="2575" width="0" style="107" hidden="1" customWidth="1"/>
    <col min="2576" max="2825" width="9.140625" style="107"/>
    <col min="2826" max="2826" width="0.140625" style="107" customWidth="1"/>
    <col min="2827" max="2828" width="9.140625" style="107"/>
    <col min="2829" max="2829" width="9" style="107" customWidth="1"/>
    <col min="2830" max="2831" width="0" style="107" hidden="1" customWidth="1"/>
    <col min="2832" max="3081" width="9.140625" style="107"/>
    <col min="3082" max="3082" width="0.140625" style="107" customWidth="1"/>
    <col min="3083" max="3084" width="9.140625" style="107"/>
    <col min="3085" max="3085" width="9" style="107" customWidth="1"/>
    <col min="3086" max="3087" width="0" style="107" hidden="1" customWidth="1"/>
    <col min="3088" max="3337" width="9.140625" style="107"/>
    <col min="3338" max="3338" width="0.140625" style="107" customWidth="1"/>
    <col min="3339" max="3340" width="9.140625" style="107"/>
    <col min="3341" max="3341" width="9" style="107" customWidth="1"/>
    <col min="3342" max="3343" width="0" style="107" hidden="1" customWidth="1"/>
    <col min="3344" max="3593" width="9.140625" style="107"/>
    <col min="3594" max="3594" width="0.140625" style="107" customWidth="1"/>
    <col min="3595" max="3596" width="9.140625" style="107"/>
    <col min="3597" max="3597" width="9" style="107" customWidth="1"/>
    <col min="3598" max="3599" width="0" style="107" hidden="1" customWidth="1"/>
    <col min="3600" max="3849" width="9.140625" style="107"/>
    <col min="3850" max="3850" width="0.140625" style="107" customWidth="1"/>
    <col min="3851" max="3852" width="9.140625" style="107"/>
    <col min="3853" max="3853" width="9" style="107" customWidth="1"/>
    <col min="3854" max="3855" width="0" style="107" hidden="1" customWidth="1"/>
    <col min="3856" max="4105" width="9.140625" style="107"/>
    <col min="4106" max="4106" width="0.140625" style="107" customWidth="1"/>
    <col min="4107" max="4108" width="9.140625" style="107"/>
    <col min="4109" max="4109" width="9" style="107" customWidth="1"/>
    <col min="4110" max="4111" width="0" style="107" hidden="1" customWidth="1"/>
    <col min="4112" max="4361" width="9.140625" style="107"/>
    <col min="4362" max="4362" width="0.140625" style="107" customWidth="1"/>
    <col min="4363" max="4364" width="9.140625" style="107"/>
    <col min="4365" max="4365" width="9" style="107" customWidth="1"/>
    <col min="4366" max="4367" width="0" style="107" hidden="1" customWidth="1"/>
    <col min="4368" max="4617" width="9.140625" style="107"/>
    <col min="4618" max="4618" width="0.140625" style="107" customWidth="1"/>
    <col min="4619" max="4620" width="9.140625" style="107"/>
    <col min="4621" max="4621" width="9" style="107" customWidth="1"/>
    <col min="4622" max="4623" width="0" style="107" hidden="1" customWidth="1"/>
    <col min="4624" max="4873" width="9.140625" style="107"/>
    <col min="4874" max="4874" width="0.140625" style="107" customWidth="1"/>
    <col min="4875" max="4876" width="9.140625" style="107"/>
    <col min="4877" max="4877" width="9" style="107" customWidth="1"/>
    <col min="4878" max="4879" width="0" style="107" hidden="1" customWidth="1"/>
    <col min="4880" max="5129" width="9.140625" style="107"/>
    <col min="5130" max="5130" width="0.140625" style="107" customWidth="1"/>
    <col min="5131" max="5132" width="9.140625" style="107"/>
    <col min="5133" max="5133" width="9" style="107" customWidth="1"/>
    <col min="5134" max="5135" width="0" style="107" hidden="1" customWidth="1"/>
    <col min="5136" max="5385" width="9.140625" style="107"/>
    <col min="5386" max="5386" width="0.140625" style="107" customWidth="1"/>
    <col min="5387" max="5388" width="9.140625" style="107"/>
    <col min="5389" max="5389" width="9" style="107" customWidth="1"/>
    <col min="5390" max="5391" width="0" style="107" hidden="1" customWidth="1"/>
    <col min="5392" max="5641" width="9.140625" style="107"/>
    <col min="5642" max="5642" width="0.140625" style="107" customWidth="1"/>
    <col min="5643" max="5644" width="9.140625" style="107"/>
    <col min="5645" max="5645" width="9" style="107" customWidth="1"/>
    <col min="5646" max="5647" width="0" style="107" hidden="1" customWidth="1"/>
    <col min="5648" max="5897" width="9.140625" style="107"/>
    <col min="5898" max="5898" width="0.140625" style="107" customWidth="1"/>
    <col min="5899" max="5900" width="9.140625" style="107"/>
    <col min="5901" max="5901" width="9" style="107" customWidth="1"/>
    <col min="5902" max="5903" width="0" style="107" hidden="1" customWidth="1"/>
    <col min="5904" max="6153" width="9.140625" style="107"/>
    <col min="6154" max="6154" width="0.140625" style="107" customWidth="1"/>
    <col min="6155" max="6156" width="9.140625" style="107"/>
    <col min="6157" max="6157" width="9" style="107" customWidth="1"/>
    <col min="6158" max="6159" width="0" style="107" hidden="1" customWidth="1"/>
    <col min="6160" max="6409" width="9.140625" style="107"/>
    <col min="6410" max="6410" width="0.140625" style="107" customWidth="1"/>
    <col min="6411" max="6412" width="9.140625" style="107"/>
    <col min="6413" max="6413" width="9" style="107" customWidth="1"/>
    <col min="6414" max="6415" width="0" style="107" hidden="1" customWidth="1"/>
    <col min="6416" max="6665" width="9.140625" style="107"/>
    <col min="6666" max="6666" width="0.140625" style="107" customWidth="1"/>
    <col min="6667" max="6668" width="9.140625" style="107"/>
    <col min="6669" max="6669" width="9" style="107" customWidth="1"/>
    <col min="6670" max="6671" width="0" style="107" hidden="1" customWidth="1"/>
    <col min="6672" max="6921" width="9.140625" style="107"/>
    <col min="6922" max="6922" width="0.140625" style="107" customWidth="1"/>
    <col min="6923" max="6924" width="9.140625" style="107"/>
    <col min="6925" max="6925" width="9" style="107" customWidth="1"/>
    <col min="6926" max="6927" width="0" style="107" hidden="1" customWidth="1"/>
    <col min="6928" max="7177" width="9.140625" style="107"/>
    <col min="7178" max="7178" width="0.140625" style="107" customWidth="1"/>
    <col min="7179" max="7180" width="9.140625" style="107"/>
    <col min="7181" max="7181" width="9" style="107" customWidth="1"/>
    <col min="7182" max="7183" width="0" style="107" hidden="1" customWidth="1"/>
    <col min="7184" max="7433" width="9.140625" style="107"/>
    <col min="7434" max="7434" width="0.140625" style="107" customWidth="1"/>
    <col min="7435" max="7436" width="9.140625" style="107"/>
    <col min="7437" max="7437" width="9" style="107" customWidth="1"/>
    <col min="7438" max="7439" width="0" style="107" hidden="1" customWidth="1"/>
    <col min="7440" max="7689" width="9.140625" style="107"/>
    <col min="7690" max="7690" width="0.140625" style="107" customWidth="1"/>
    <col min="7691" max="7692" width="9.140625" style="107"/>
    <col min="7693" max="7693" width="9" style="107" customWidth="1"/>
    <col min="7694" max="7695" width="0" style="107" hidden="1" customWidth="1"/>
    <col min="7696" max="7945" width="9.140625" style="107"/>
    <col min="7946" max="7946" width="0.140625" style="107" customWidth="1"/>
    <col min="7947" max="7948" width="9.140625" style="107"/>
    <col min="7949" max="7949" width="9" style="107" customWidth="1"/>
    <col min="7950" max="7951" width="0" style="107" hidden="1" customWidth="1"/>
    <col min="7952" max="8201" width="9.140625" style="107"/>
    <col min="8202" max="8202" width="0.140625" style="107" customWidth="1"/>
    <col min="8203" max="8204" width="9.140625" style="107"/>
    <col min="8205" max="8205" width="9" style="107" customWidth="1"/>
    <col min="8206" max="8207" width="0" style="107" hidden="1" customWidth="1"/>
    <col min="8208" max="8457" width="9.140625" style="107"/>
    <col min="8458" max="8458" width="0.140625" style="107" customWidth="1"/>
    <col min="8459" max="8460" width="9.140625" style="107"/>
    <col min="8461" max="8461" width="9" style="107" customWidth="1"/>
    <col min="8462" max="8463" width="0" style="107" hidden="1" customWidth="1"/>
    <col min="8464" max="8713" width="9.140625" style="107"/>
    <col min="8714" max="8714" width="0.140625" style="107" customWidth="1"/>
    <col min="8715" max="8716" width="9.140625" style="107"/>
    <col min="8717" max="8717" width="9" style="107" customWidth="1"/>
    <col min="8718" max="8719" width="0" style="107" hidden="1" customWidth="1"/>
    <col min="8720" max="8969" width="9.140625" style="107"/>
    <col min="8970" max="8970" width="0.140625" style="107" customWidth="1"/>
    <col min="8971" max="8972" width="9.140625" style="107"/>
    <col min="8973" max="8973" width="9" style="107" customWidth="1"/>
    <col min="8974" max="8975" width="0" style="107" hidden="1" customWidth="1"/>
    <col min="8976" max="9225" width="9.140625" style="107"/>
    <col min="9226" max="9226" width="0.140625" style="107" customWidth="1"/>
    <col min="9227" max="9228" width="9.140625" style="107"/>
    <col min="9229" max="9229" width="9" style="107" customWidth="1"/>
    <col min="9230" max="9231" width="0" style="107" hidden="1" customWidth="1"/>
    <col min="9232" max="9481" width="9.140625" style="107"/>
    <col min="9482" max="9482" width="0.140625" style="107" customWidth="1"/>
    <col min="9483" max="9484" width="9.140625" style="107"/>
    <col min="9485" max="9485" width="9" style="107" customWidth="1"/>
    <col min="9486" max="9487" width="0" style="107" hidden="1" customWidth="1"/>
    <col min="9488" max="9737" width="9.140625" style="107"/>
    <col min="9738" max="9738" width="0.140625" style="107" customWidth="1"/>
    <col min="9739" max="9740" width="9.140625" style="107"/>
    <col min="9741" max="9741" width="9" style="107" customWidth="1"/>
    <col min="9742" max="9743" width="0" style="107" hidden="1" customWidth="1"/>
    <col min="9744" max="9993" width="9.140625" style="107"/>
    <col min="9994" max="9994" width="0.140625" style="107" customWidth="1"/>
    <col min="9995" max="9996" width="9.140625" style="107"/>
    <col min="9997" max="9997" width="9" style="107" customWidth="1"/>
    <col min="9998" max="9999" width="0" style="107" hidden="1" customWidth="1"/>
    <col min="10000" max="10249" width="9.140625" style="107"/>
    <col min="10250" max="10250" width="0.140625" style="107" customWidth="1"/>
    <col min="10251" max="10252" width="9.140625" style="107"/>
    <col min="10253" max="10253" width="9" style="107" customWidth="1"/>
    <col min="10254" max="10255" width="0" style="107" hidden="1" customWidth="1"/>
    <col min="10256" max="10505" width="9.140625" style="107"/>
    <col min="10506" max="10506" width="0.140625" style="107" customWidth="1"/>
    <col min="10507" max="10508" width="9.140625" style="107"/>
    <col min="10509" max="10509" width="9" style="107" customWidth="1"/>
    <col min="10510" max="10511" width="0" style="107" hidden="1" customWidth="1"/>
    <col min="10512" max="10761" width="9.140625" style="107"/>
    <col min="10762" max="10762" width="0.140625" style="107" customWidth="1"/>
    <col min="10763" max="10764" width="9.140625" style="107"/>
    <col min="10765" max="10765" width="9" style="107" customWidth="1"/>
    <col min="10766" max="10767" width="0" style="107" hidden="1" customWidth="1"/>
    <col min="10768" max="11017" width="9.140625" style="107"/>
    <col min="11018" max="11018" width="0.140625" style="107" customWidth="1"/>
    <col min="11019" max="11020" width="9.140625" style="107"/>
    <col min="11021" max="11021" width="9" style="107" customWidth="1"/>
    <col min="11022" max="11023" width="0" style="107" hidden="1" customWidth="1"/>
    <col min="11024" max="11273" width="9.140625" style="107"/>
    <col min="11274" max="11274" width="0.140625" style="107" customWidth="1"/>
    <col min="11275" max="11276" width="9.140625" style="107"/>
    <col min="11277" max="11277" width="9" style="107" customWidth="1"/>
    <col min="11278" max="11279" width="0" style="107" hidden="1" customWidth="1"/>
    <col min="11280" max="11529" width="9.140625" style="107"/>
    <col min="11530" max="11530" width="0.140625" style="107" customWidth="1"/>
    <col min="11531" max="11532" width="9.140625" style="107"/>
    <col min="11533" max="11533" width="9" style="107" customWidth="1"/>
    <col min="11534" max="11535" width="0" style="107" hidden="1" customWidth="1"/>
    <col min="11536" max="11785" width="9.140625" style="107"/>
    <col min="11786" max="11786" width="0.140625" style="107" customWidth="1"/>
    <col min="11787" max="11788" width="9.140625" style="107"/>
    <col min="11789" max="11789" width="9" style="107" customWidth="1"/>
    <col min="11790" max="11791" width="0" style="107" hidden="1" customWidth="1"/>
    <col min="11792" max="12041" width="9.140625" style="107"/>
    <col min="12042" max="12042" width="0.140625" style="107" customWidth="1"/>
    <col min="12043" max="12044" width="9.140625" style="107"/>
    <col min="12045" max="12045" width="9" style="107" customWidth="1"/>
    <col min="12046" max="12047" width="0" style="107" hidden="1" customWidth="1"/>
    <col min="12048" max="12297" width="9.140625" style="107"/>
    <col min="12298" max="12298" width="0.140625" style="107" customWidth="1"/>
    <col min="12299" max="12300" width="9.140625" style="107"/>
    <col min="12301" max="12301" width="9" style="107" customWidth="1"/>
    <col min="12302" max="12303" width="0" style="107" hidden="1" customWidth="1"/>
    <col min="12304" max="12553" width="9.140625" style="107"/>
    <col min="12554" max="12554" width="0.140625" style="107" customWidth="1"/>
    <col min="12555" max="12556" width="9.140625" style="107"/>
    <col min="12557" max="12557" width="9" style="107" customWidth="1"/>
    <col min="12558" max="12559" width="0" style="107" hidden="1" customWidth="1"/>
    <col min="12560" max="12809" width="9.140625" style="107"/>
    <col min="12810" max="12810" width="0.140625" style="107" customWidth="1"/>
    <col min="12811" max="12812" width="9.140625" style="107"/>
    <col min="12813" max="12813" width="9" style="107" customWidth="1"/>
    <col min="12814" max="12815" width="0" style="107" hidden="1" customWidth="1"/>
    <col min="12816" max="13065" width="9.140625" style="107"/>
    <col min="13066" max="13066" width="0.140625" style="107" customWidth="1"/>
    <col min="13067" max="13068" width="9.140625" style="107"/>
    <col min="13069" max="13069" width="9" style="107" customWidth="1"/>
    <col min="13070" max="13071" width="0" style="107" hidden="1" customWidth="1"/>
    <col min="13072" max="13321" width="9.140625" style="107"/>
    <col min="13322" max="13322" width="0.140625" style="107" customWidth="1"/>
    <col min="13323" max="13324" width="9.140625" style="107"/>
    <col min="13325" max="13325" width="9" style="107" customWidth="1"/>
    <col min="13326" max="13327" width="0" style="107" hidden="1" customWidth="1"/>
    <col min="13328" max="13577" width="9.140625" style="107"/>
    <col min="13578" max="13578" width="0.140625" style="107" customWidth="1"/>
    <col min="13579" max="13580" width="9.140625" style="107"/>
    <col min="13581" max="13581" width="9" style="107" customWidth="1"/>
    <col min="13582" max="13583" width="0" style="107" hidden="1" customWidth="1"/>
    <col min="13584" max="13833" width="9.140625" style="107"/>
    <col min="13834" max="13834" width="0.140625" style="107" customWidth="1"/>
    <col min="13835" max="13836" width="9.140625" style="107"/>
    <col min="13837" max="13837" width="9" style="107" customWidth="1"/>
    <col min="13838" max="13839" width="0" style="107" hidden="1" customWidth="1"/>
    <col min="13840" max="14089" width="9.140625" style="107"/>
    <col min="14090" max="14090" width="0.140625" style="107" customWidth="1"/>
    <col min="14091" max="14092" width="9.140625" style="107"/>
    <col min="14093" max="14093" width="9" style="107" customWidth="1"/>
    <col min="14094" max="14095" width="0" style="107" hidden="1" customWidth="1"/>
    <col min="14096" max="14345" width="9.140625" style="107"/>
    <col min="14346" max="14346" width="0.140625" style="107" customWidth="1"/>
    <col min="14347" max="14348" width="9.140625" style="107"/>
    <col min="14349" max="14349" width="9" style="107" customWidth="1"/>
    <col min="14350" max="14351" width="0" style="107" hidden="1" customWidth="1"/>
    <col min="14352" max="14601" width="9.140625" style="107"/>
    <col min="14602" max="14602" width="0.140625" style="107" customWidth="1"/>
    <col min="14603" max="14604" width="9.140625" style="107"/>
    <col min="14605" max="14605" width="9" style="107" customWidth="1"/>
    <col min="14606" max="14607" width="0" style="107" hidden="1" customWidth="1"/>
    <col min="14608" max="14857" width="9.140625" style="107"/>
    <col min="14858" max="14858" width="0.140625" style="107" customWidth="1"/>
    <col min="14859" max="14860" width="9.140625" style="107"/>
    <col min="14861" max="14861" width="9" style="107" customWidth="1"/>
    <col min="14862" max="14863" width="0" style="107" hidden="1" customWidth="1"/>
    <col min="14864" max="15113" width="9.140625" style="107"/>
    <col min="15114" max="15114" width="0.140625" style="107" customWidth="1"/>
    <col min="15115" max="15116" width="9.140625" style="107"/>
    <col min="15117" max="15117" width="9" style="107" customWidth="1"/>
    <col min="15118" max="15119" width="0" style="107" hidden="1" customWidth="1"/>
    <col min="15120" max="15369" width="9.140625" style="107"/>
    <col min="15370" max="15370" width="0.140625" style="107" customWidth="1"/>
    <col min="15371" max="15372" width="9.140625" style="107"/>
    <col min="15373" max="15373" width="9" style="107" customWidth="1"/>
    <col min="15374" max="15375" width="0" style="107" hidden="1" customWidth="1"/>
    <col min="15376" max="15625" width="9.140625" style="107"/>
    <col min="15626" max="15626" width="0.140625" style="107" customWidth="1"/>
    <col min="15627" max="15628" width="9.140625" style="107"/>
    <col min="15629" max="15629" width="9" style="107" customWidth="1"/>
    <col min="15630" max="15631" width="0" style="107" hidden="1" customWidth="1"/>
    <col min="15632" max="15881" width="9.140625" style="107"/>
    <col min="15882" max="15882" width="0.140625" style="107" customWidth="1"/>
    <col min="15883" max="15884" width="9.140625" style="107"/>
    <col min="15885" max="15885" width="9" style="107" customWidth="1"/>
    <col min="15886" max="15887" width="0" style="107" hidden="1" customWidth="1"/>
    <col min="15888" max="16137" width="9.140625" style="107"/>
    <col min="16138" max="16138" width="0.140625" style="107" customWidth="1"/>
    <col min="16139" max="16140" width="9.140625" style="107"/>
    <col min="16141" max="16141" width="9" style="107" customWidth="1"/>
    <col min="16142" max="16143" width="0" style="107" hidden="1" customWidth="1"/>
    <col min="16144" max="16384" width="9.140625" style="107"/>
  </cols>
  <sheetData>
    <row r="1" spans="1:16" ht="15.75">
      <c r="A1" s="625" t="s">
        <v>142</v>
      </c>
      <c r="B1" s="625"/>
      <c r="C1" s="625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5.75" customHeight="1">
      <c r="A2" s="625" t="s">
        <v>401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</row>
    <row r="3" spans="1:16" ht="15.75">
      <c r="A3" s="382"/>
      <c r="B3" s="382"/>
      <c r="C3" s="382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ht="15.75">
      <c r="A4" s="625" t="s">
        <v>400</v>
      </c>
      <c r="B4" s="625"/>
      <c r="C4" s="62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pans="1:16">
      <c r="A5" s="626" t="s">
        <v>445</v>
      </c>
      <c r="B5" s="626"/>
      <c r="C5" s="626"/>
      <c r="D5" s="626"/>
      <c r="E5" s="626"/>
      <c r="F5" s="626"/>
      <c r="G5" s="626"/>
      <c r="H5" s="626"/>
      <c r="I5" s="626"/>
      <c r="J5" s="626"/>
      <c r="K5" s="626"/>
      <c r="L5" s="626"/>
      <c r="M5" s="626"/>
      <c r="N5" s="626"/>
      <c r="O5" s="626"/>
      <c r="P5" s="626"/>
    </row>
    <row r="6" spans="1:16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45.75" customHeight="1">
      <c r="A7" s="627"/>
      <c r="B7" s="627"/>
      <c r="C7" s="627"/>
      <c r="D7" s="627"/>
      <c r="E7" s="627"/>
      <c r="F7" s="627"/>
      <c r="G7" s="627"/>
      <c r="H7" s="627"/>
      <c r="I7" s="627"/>
      <c r="J7" s="108" t="s">
        <v>143</v>
      </c>
      <c r="K7" s="108" t="s">
        <v>23</v>
      </c>
      <c r="L7" s="109" t="s">
        <v>113</v>
      </c>
      <c r="M7" s="110" t="s">
        <v>114</v>
      </c>
      <c r="N7" s="110" t="s">
        <v>115</v>
      </c>
      <c r="O7" s="110" t="s">
        <v>116</v>
      </c>
      <c r="P7" s="111" t="s">
        <v>117</v>
      </c>
    </row>
    <row r="8" spans="1:16">
      <c r="A8" s="624" t="s">
        <v>118</v>
      </c>
      <c r="B8" s="624"/>
      <c r="C8" s="624"/>
      <c r="D8" s="624"/>
      <c r="E8" s="624"/>
      <c r="F8" s="624"/>
      <c r="G8" s="624"/>
      <c r="H8" s="624"/>
      <c r="I8" s="624"/>
      <c r="J8" s="383"/>
      <c r="K8" s="383"/>
      <c r="L8" s="383"/>
      <c r="M8" s="383"/>
      <c r="N8" s="383"/>
      <c r="O8" s="383"/>
      <c r="P8" s="384"/>
    </row>
    <row r="9" spans="1:16">
      <c r="A9" s="620" t="s">
        <v>119</v>
      </c>
      <c r="B9" s="620"/>
      <c r="C9" s="620"/>
      <c r="D9" s="620"/>
      <c r="E9" s="620"/>
      <c r="F9" s="620"/>
      <c r="G9" s="620"/>
      <c r="H9" s="620"/>
      <c r="I9" s="620"/>
      <c r="J9" s="112"/>
      <c r="K9" s="383">
        <v>2</v>
      </c>
      <c r="L9" s="383">
        <v>8</v>
      </c>
      <c r="M9" s="383">
        <v>10</v>
      </c>
      <c r="N9" s="383"/>
      <c r="O9" s="383"/>
      <c r="P9" s="384">
        <f t="shared" ref="P9:P27" si="0">SUM(L9:O9)</f>
        <v>18</v>
      </c>
    </row>
    <row r="10" spans="1:16">
      <c r="A10" s="620" t="s">
        <v>120</v>
      </c>
      <c r="B10" s="620"/>
      <c r="C10" s="620"/>
      <c r="D10" s="620"/>
      <c r="E10" s="620"/>
      <c r="F10" s="620"/>
      <c r="G10" s="620"/>
      <c r="H10" s="620"/>
      <c r="I10" s="620"/>
      <c r="J10" s="112"/>
      <c r="K10" s="383">
        <v>2</v>
      </c>
      <c r="L10" s="383">
        <v>8</v>
      </c>
      <c r="M10" s="383">
        <v>9</v>
      </c>
      <c r="N10" s="383"/>
      <c r="O10" s="383"/>
      <c r="P10" s="384">
        <f t="shared" si="0"/>
        <v>17</v>
      </c>
    </row>
    <row r="11" spans="1:16">
      <c r="A11" s="620" t="s">
        <v>121</v>
      </c>
      <c r="B11" s="620"/>
      <c r="C11" s="620"/>
      <c r="D11" s="620"/>
      <c r="E11" s="620"/>
      <c r="F11" s="620"/>
      <c r="G11" s="620"/>
      <c r="H11" s="620"/>
      <c r="I11" s="620"/>
      <c r="J11" s="112"/>
      <c r="K11" s="383">
        <v>17</v>
      </c>
      <c r="L11" s="383">
        <v>99</v>
      </c>
      <c r="M11" s="383">
        <v>97</v>
      </c>
      <c r="N11" s="383"/>
      <c r="O11" s="383"/>
      <c r="P11" s="384">
        <f t="shared" si="0"/>
        <v>196</v>
      </c>
    </row>
    <row r="12" spans="1:16">
      <c r="A12" s="621" t="s">
        <v>122</v>
      </c>
      <c r="B12" s="621"/>
      <c r="C12" s="621"/>
      <c r="D12" s="621"/>
      <c r="E12" s="621"/>
      <c r="F12" s="621"/>
      <c r="G12" s="621"/>
      <c r="H12" s="621"/>
      <c r="I12" s="621"/>
      <c r="J12" s="113">
        <f>SUM(J13,J14,J20)</f>
        <v>0</v>
      </c>
      <c r="K12" s="113">
        <v>30</v>
      </c>
      <c r="L12" s="113">
        <f>198+16+5</f>
        <v>219</v>
      </c>
      <c r="M12" s="113">
        <f>290+22+11</f>
        <v>323</v>
      </c>
      <c r="N12" s="113">
        <f>SUM(N13:N14)</f>
        <v>0</v>
      </c>
      <c r="O12" s="113">
        <f>SUM(O13:O14)</f>
        <v>0</v>
      </c>
      <c r="P12" s="113">
        <f>SUM(L12:O12)</f>
        <v>542</v>
      </c>
    </row>
    <row r="13" spans="1:16" ht="14.25" customHeight="1">
      <c r="A13" s="620" t="s">
        <v>123</v>
      </c>
      <c r="B13" s="620"/>
      <c r="C13" s="620"/>
      <c r="D13" s="620"/>
      <c r="E13" s="620"/>
      <c r="F13" s="620"/>
      <c r="G13" s="620"/>
      <c r="H13" s="620"/>
      <c r="I13" s="620"/>
      <c r="J13" s="114"/>
      <c r="K13" s="383">
        <v>36</v>
      </c>
      <c r="L13" s="383">
        <f>22+24+27+28+22+23+26+26</f>
        <v>198</v>
      </c>
      <c r="M13" s="115">
        <v>290</v>
      </c>
      <c r="N13" s="383"/>
      <c r="O13" s="383"/>
      <c r="P13" s="384">
        <f>SUM(L13:M13)</f>
        <v>488</v>
      </c>
    </row>
    <row r="14" spans="1:16">
      <c r="A14" s="622" t="s">
        <v>124</v>
      </c>
      <c r="B14" s="622"/>
      <c r="C14" s="622"/>
      <c r="D14" s="622"/>
      <c r="E14" s="622"/>
      <c r="F14" s="622"/>
      <c r="G14" s="622"/>
      <c r="H14" s="622"/>
      <c r="I14" s="622"/>
      <c r="J14" s="113">
        <f t="shared" ref="J14:O14" si="1">SUM(J15:J19)</f>
        <v>0</v>
      </c>
      <c r="K14" s="113"/>
      <c r="L14" s="113">
        <f>SUM(L15:L16)</f>
        <v>16</v>
      </c>
      <c r="M14" s="113">
        <f>SUM(M15:M16)</f>
        <v>22</v>
      </c>
      <c r="N14" s="113">
        <f t="shared" si="1"/>
        <v>0</v>
      </c>
      <c r="O14" s="113">
        <f t="shared" si="1"/>
        <v>0</v>
      </c>
      <c r="P14" s="113">
        <f t="shared" si="0"/>
        <v>38</v>
      </c>
    </row>
    <row r="15" spans="1:16">
      <c r="A15" s="620" t="s">
        <v>125</v>
      </c>
      <c r="B15" s="620"/>
      <c r="C15" s="620"/>
      <c r="D15" s="620"/>
      <c r="E15" s="620"/>
      <c r="F15" s="620"/>
      <c r="G15" s="620"/>
      <c r="H15" s="620"/>
      <c r="I15" s="620"/>
      <c r="J15" s="112"/>
      <c r="K15" s="115"/>
      <c r="L15" s="116">
        <f>1+1+1</f>
        <v>3</v>
      </c>
      <c r="M15" s="115">
        <f>2+3+1+2+3+1+1+1</f>
        <v>14</v>
      </c>
      <c r="N15" s="115"/>
      <c r="O15" s="115"/>
      <c r="P15" s="384">
        <f t="shared" si="0"/>
        <v>17</v>
      </c>
    </row>
    <row r="16" spans="1:16">
      <c r="A16" s="620" t="s">
        <v>126</v>
      </c>
      <c r="B16" s="620"/>
      <c r="C16" s="620"/>
      <c r="D16" s="620"/>
      <c r="E16" s="620"/>
      <c r="F16" s="620"/>
      <c r="G16" s="620"/>
      <c r="H16" s="620"/>
      <c r="I16" s="620"/>
      <c r="J16" s="112"/>
      <c r="K16" s="115"/>
      <c r="L16" s="116">
        <f>2+1+2+2+2+1+2+1</f>
        <v>13</v>
      </c>
      <c r="M16" s="115">
        <v>8</v>
      </c>
      <c r="N16" s="115"/>
      <c r="O16" s="115"/>
      <c r="P16" s="384">
        <f t="shared" si="0"/>
        <v>21</v>
      </c>
    </row>
    <row r="17" spans="1:16">
      <c r="A17" s="623" t="s">
        <v>127</v>
      </c>
      <c r="B17" s="623"/>
      <c r="C17" s="623"/>
      <c r="D17" s="623"/>
      <c r="E17" s="623"/>
      <c r="F17" s="623"/>
      <c r="G17" s="623"/>
      <c r="H17" s="623"/>
      <c r="I17" s="623"/>
      <c r="J17" s="117"/>
      <c r="K17" s="115"/>
      <c r="L17" s="115"/>
      <c r="M17" s="115"/>
      <c r="N17" s="115"/>
      <c r="O17" s="115"/>
      <c r="P17" s="384">
        <f t="shared" si="0"/>
        <v>0</v>
      </c>
    </row>
    <row r="18" spans="1:16">
      <c r="A18" s="620" t="s">
        <v>128</v>
      </c>
      <c r="B18" s="620"/>
      <c r="C18" s="620"/>
      <c r="D18" s="620"/>
      <c r="E18" s="620"/>
      <c r="F18" s="620"/>
      <c r="G18" s="620"/>
      <c r="H18" s="620"/>
      <c r="I18" s="620"/>
      <c r="J18" s="112"/>
      <c r="K18" s="115"/>
      <c r="L18" s="115"/>
      <c r="M18" s="115"/>
      <c r="N18" s="115"/>
      <c r="O18" s="115"/>
      <c r="P18" s="384">
        <f t="shared" si="0"/>
        <v>0</v>
      </c>
    </row>
    <row r="19" spans="1:16">
      <c r="A19" s="620" t="s">
        <v>129</v>
      </c>
      <c r="B19" s="620"/>
      <c r="C19" s="620"/>
      <c r="D19" s="620"/>
      <c r="E19" s="620"/>
      <c r="F19" s="620"/>
      <c r="G19" s="620"/>
      <c r="H19" s="620"/>
      <c r="I19" s="620"/>
      <c r="J19" s="112"/>
      <c r="K19" s="115"/>
      <c r="L19" s="115"/>
      <c r="M19" s="115"/>
      <c r="N19" s="115"/>
      <c r="O19" s="115"/>
      <c r="P19" s="384">
        <f t="shared" si="0"/>
        <v>0</v>
      </c>
    </row>
    <row r="20" spans="1:16">
      <c r="A20" s="621" t="s">
        <v>130</v>
      </c>
      <c r="B20" s="621"/>
      <c r="C20" s="621"/>
      <c r="D20" s="621"/>
      <c r="E20" s="621"/>
      <c r="F20" s="621"/>
      <c r="G20" s="621"/>
      <c r="H20" s="621"/>
      <c r="I20" s="621"/>
      <c r="J20" s="118">
        <f t="shared" ref="J20:K20" si="2">SUM(J21:J26)</f>
        <v>0</v>
      </c>
      <c r="K20" s="118">
        <f t="shared" si="2"/>
        <v>0</v>
      </c>
      <c r="L20" s="118">
        <f>SUM(L21:L27)</f>
        <v>5</v>
      </c>
      <c r="M20" s="118">
        <f t="shared" ref="M20:P20" si="3">SUM(M21:M27)</f>
        <v>11</v>
      </c>
      <c r="N20" s="118">
        <f t="shared" si="3"/>
        <v>0</v>
      </c>
      <c r="O20" s="118">
        <f t="shared" si="3"/>
        <v>0</v>
      </c>
      <c r="P20" s="118">
        <f t="shared" si="3"/>
        <v>16</v>
      </c>
    </row>
    <row r="21" spans="1:16">
      <c r="A21" s="620" t="s">
        <v>144</v>
      </c>
      <c r="B21" s="620"/>
      <c r="C21" s="620"/>
      <c r="D21" s="620"/>
      <c r="E21" s="620"/>
      <c r="F21" s="620"/>
      <c r="G21" s="620"/>
      <c r="H21" s="620"/>
      <c r="I21" s="620"/>
      <c r="J21" s="115"/>
      <c r="K21" s="115"/>
      <c r="L21" s="115"/>
      <c r="M21" s="115"/>
      <c r="N21" s="115"/>
      <c r="O21" s="115"/>
      <c r="P21" s="384">
        <f t="shared" si="0"/>
        <v>0</v>
      </c>
    </row>
    <row r="22" spans="1:16">
      <c r="A22" s="620" t="s">
        <v>131</v>
      </c>
      <c r="B22" s="620"/>
      <c r="C22" s="620"/>
      <c r="D22" s="620"/>
      <c r="E22" s="620"/>
      <c r="F22" s="620"/>
      <c r="G22" s="620"/>
      <c r="H22" s="620"/>
      <c r="I22" s="620"/>
      <c r="J22" s="112"/>
      <c r="K22" s="115"/>
      <c r="L22" s="115">
        <v>2</v>
      </c>
      <c r="M22" s="115">
        <v>3</v>
      </c>
      <c r="N22" s="115"/>
      <c r="O22" s="115"/>
      <c r="P22" s="384">
        <f t="shared" si="0"/>
        <v>5</v>
      </c>
    </row>
    <row r="23" spans="1:16">
      <c r="A23" s="620" t="s">
        <v>311</v>
      </c>
      <c r="B23" s="620"/>
      <c r="C23" s="620"/>
      <c r="D23" s="620"/>
      <c r="E23" s="620"/>
      <c r="F23" s="620"/>
      <c r="G23" s="620"/>
      <c r="H23" s="620"/>
      <c r="I23" s="620"/>
      <c r="J23" s="112"/>
      <c r="K23" s="115"/>
      <c r="L23" s="115">
        <v>2</v>
      </c>
      <c r="M23" s="115">
        <v>3</v>
      </c>
      <c r="N23" s="115"/>
      <c r="O23" s="115"/>
      <c r="P23" s="384">
        <f t="shared" si="0"/>
        <v>5</v>
      </c>
    </row>
    <row r="24" spans="1:16">
      <c r="A24" s="620" t="s">
        <v>312</v>
      </c>
      <c r="B24" s="620"/>
      <c r="C24" s="620"/>
      <c r="D24" s="620"/>
      <c r="E24" s="620"/>
      <c r="F24" s="620"/>
      <c r="G24" s="620"/>
      <c r="H24" s="620"/>
      <c r="I24" s="620"/>
      <c r="J24" s="112"/>
      <c r="K24" s="115"/>
      <c r="L24" s="115"/>
      <c r="M24" s="115"/>
      <c r="N24" s="115"/>
      <c r="O24" s="115"/>
      <c r="P24" s="384">
        <f t="shared" si="0"/>
        <v>0</v>
      </c>
    </row>
    <row r="25" spans="1:16">
      <c r="A25" s="620" t="s">
        <v>313</v>
      </c>
      <c r="B25" s="620"/>
      <c r="C25" s="620"/>
      <c r="D25" s="620"/>
      <c r="E25" s="620"/>
      <c r="F25" s="620"/>
      <c r="G25" s="620"/>
      <c r="H25" s="620"/>
      <c r="I25" s="620"/>
      <c r="J25" s="112"/>
      <c r="K25" s="115"/>
      <c r="L25" s="115"/>
      <c r="M25" s="115">
        <v>3</v>
      </c>
      <c r="N25" s="115"/>
      <c r="O25" s="115"/>
      <c r="P25" s="384">
        <f t="shared" si="0"/>
        <v>3</v>
      </c>
    </row>
    <row r="26" spans="1:16">
      <c r="A26" s="620" t="s">
        <v>132</v>
      </c>
      <c r="B26" s="620"/>
      <c r="C26" s="620"/>
      <c r="D26" s="620"/>
      <c r="E26" s="620"/>
      <c r="F26" s="620"/>
      <c r="G26" s="620"/>
      <c r="H26" s="620"/>
      <c r="I26" s="620"/>
      <c r="J26" s="112"/>
      <c r="K26" s="115"/>
      <c r="L26" s="115"/>
      <c r="M26" s="115">
        <v>1</v>
      </c>
      <c r="N26" s="115"/>
      <c r="O26" s="115"/>
      <c r="P26" s="384">
        <f t="shared" si="0"/>
        <v>1</v>
      </c>
    </row>
    <row r="27" spans="1:16">
      <c r="A27" s="620" t="s">
        <v>155</v>
      </c>
      <c r="B27" s="620"/>
      <c r="C27" s="620"/>
      <c r="D27" s="620"/>
      <c r="E27" s="620"/>
      <c r="F27" s="620"/>
      <c r="G27" s="620"/>
      <c r="H27" s="620"/>
      <c r="I27" s="620"/>
      <c r="J27" s="112"/>
      <c r="K27" s="115"/>
      <c r="L27" s="115">
        <v>1</v>
      </c>
      <c r="M27" s="115">
        <v>1</v>
      </c>
      <c r="N27" s="115"/>
      <c r="O27" s="115"/>
      <c r="P27" s="384">
        <f t="shared" si="0"/>
        <v>2</v>
      </c>
    </row>
    <row r="28" spans="1:16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</row>
    <row r="29" spans="1:16">
      <c r="A29" s="53" t="s">
        <v>78</v>
      </c>
      <c r="B29" s="53"/>
      <c r="C29" s="53" t="s">
        <v>43</v>
      </c>
      <c r="D29" s="53" t="s">
        <v>145</v>
      </c>
      <c r="E29" s="53"/>
      <c r="F29" s="106"/>
      <c r="G29" s="53"/>
      <c r="H29" s="53" t="s">
        <v>314</v>
      </c>
      <c r="I29" s="53"/>
      <c r="J29" s="53"/>
      <c r="K29" s="53"/>
      <c r="L29" s="87"/>
      <c r="M29" s="53"/>
      <c r="N29" s="53" t="s">
        <v>146</v>
      </c>
      <c r="O29" s="53"/>
      <c r="P29" s="88"/>
    </row>
    <row r="30" spans="1:16">
      <c r="A30" s="53"/>
      <c r="B30" s="53"/>
      <c r="C30" s="53"/>
      <c r="D30" s="53"/>
      <c r="E30" s="53"/>
      <c r="F30" s="106"/>
      <c r="G30" s="53"/>
      <c r="H30" s="53"/>
      <c r="I30" s="53"/>
      <c r="J30" s="53"/>
      <c r="K30" s="53"/>
      <c r="L30" s="87"/>
      <c r="M30" s="87"/>
      <c r="N30" s="87"/>
      <c r="O30" s="53"/>
      <c r="P30" s="88"/>
    </row>
    <row r="31" spans="1:16">
      <c r="A31" s="87" t="s">
        <v>79</v>
      </c>
      <c r="B31" s="54"/>
      <c r="C31" s="54"/>
      <c r="D31" s="53" t="s">
        <v>147</v>
      </c>
      <c r="E31" s="53"/>
      <c r="F31" s="106"/>
      <c r="G31" s="53"/>
      <c r="H31" s="53"/>
      <c r="I31" s="53"/>
      <c r="J31" s="53"/>
      <c r="K31" s="53"/>
      <c r="L31" s="87"/>
      <c r="M31" s="53"/>
      <c r="N31" s="53" t="s">
        <v>148</v>
      </c>
      <c r="O31" s="53"/>
      <c r="P31" s="88"/>
    </row>
    <row r="32" spans="1:16">
      <c r="A32" s="88"/>
      <c r="B32" s="54"/>
      <c r="C32" s="54"/>
      <c r="D32" s="54"/>
      <c r="E32" s="54"/>
      <c r="F32" s="54"/>
      <c r="G32" s="54"/>
      <c r="H32" s="53"/>
      <c r="I32" s="53"/>
      <c r="J32" s="53"/>
      <c r="K32" s="53"/>
      <c r="L32" s="87"/>
      <c r="M32" s="87"/>
      <c r="N32" s="87"/>
      <c r="O32" s="54"/>
      <c r="P32" s="88"/>
    </row>
    <row r="33" spans="1:16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</sheetData>
  <mergeCells count="25">
    <mergeCell ref="A8:I8"/>
    <mergeCell ref="A1:C1"/>
    <mergeCell ref="A2:P2"/>
    <mergeCell ref="A4:C4"/>
    <mergeCell ref="A5:P5"/>
    <mergeCell ref="A7:I7"/>
    <mergeCell ref="A20:I20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7:I27"/>
    <mergeCell ref="A21:I21"/>
    <mergeCell ref="A22:I22"/>
    <mergeCell ref="A23:I23"/>
    <mergeCell ref="A24:I24"/>
    <mergeCell ref="A25:I25"/>
    <mergeCell ref="A26:I26"/>
  </mergeCells>
  <pageMargins left="0.75" right="0.75" top="1" bottom="1" header="0.5" footer="0.5"/>
  <pageSetup paperSize="9" scale="8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2"/>
  <sheetViews>
    <sheetView view="pageBreakPreview" zoomScale="84" zoomScaleNormal="80" zoomScaleSheetLayoutView="84" workbookViewId="0">
      <selection activeCell="X27" sqref="X27"/>
    </sheetView>
  </sheetViews>
  <sheetFormatPr defaultColWidth="9.140625" defaultRowHeight="15"/>
  <cols>
    <col min="1" max="1" width="7.28515625" style="64" customWidth="1"/>
    <col min="2" max="2" width="15.85546875" style="64" customWidth="1"/>
    <col min="3" max="3" width="15.7109375" style="64" customWidth="1"/>
    <col min="4" max="4" width="8" style="64" customWidth="1"/>
    <col min="5" max="5" width="6.5703125" style="64" customWidth="1"/>
    <col min="6" max="6" width="6.42578125" style="64" customWidth="1"/>
    <col min="7" max="7" width="7.85546875" style="64" customWidth="1"/>
    <col min="8" max="8" width="9.7109375" style="64" customWidth="1"/>
    <col min="9" max="9" width="6.5703125" style="64" customWidth="1"/>
    <col min="10" max="10" width="7.7109375" style="64" customWidth="1"/>
    <col min="11" max="11" width="5.5703125" style="64" customWidth="1"/>
    <col min="12" max="12" width="5.28515625" style="64" customWidth="1"/>
    <col min="13" max="13" width="5.42578125" style="64" bestFit="1" customWidth="1"/>
    <col min="14" max="14" width="5" style="64" customWidth="1"/>
    <col min="15" max="15" width="6.28515625" style="64" customWidth="1"/>
    <col min="16" max="16" width="8" style="64" customWidth="1"/>
    <col min="17" max="17" width="6" style="64" customWidth="1"/>
    <col min="18" max="18" width="11.7109375" style="64" customWidth="1"/>
    <col min="19" max="19" width="10.140625" style="64" customWidth="1"/>
    <col min="20" max="20" width="5.28515625" style="64" customWidth="1"/>
    <col min="21" max="21" width="10.85546875" style="64" customWidth="1"/>
    <col min="22" max="22" width="5.140625" style="64" customWidth="1"/>
    <col min="23" max="23" width="6" style="64" customWidth="1"/>
    <col min="24" max="24" width="10.7109375" style="64" customWidth="1"/>
    <col min="25" max="25" width="11.5703125" style="64" hidden="1" customWidth="1"/>
    <col min="26" max="26" width="14.5703125" style="64" hidden="1" customWidth="1"/>
    <col min="27" max="27" width="10.42578125" style="64" hidden="1" customWidth="1"/>
    <col min="28" max="28" width="14.85546875" style="64" hidden="1" customWidth="1"/>
    <col min="29" max="29" width="8.7109375" style="64" hidden="1" customWidth="1"/>
    <col min="30" max="30" width="13.140625" style="64" hidden="1" customWidth="1"/>
    <col min="31" max="31" width="10" style="64" hidden="1" customWidth="1"/>
    <col min="32" max="32" width="14.42578125" style="64" hidden="1" customWidth="1"/>
    <col min="33" max="33" width="10.42578125" style="64" hidden="1" customWidth="1"/>
    <col min="34" max="34" width="14.42578125" style="64" hidden="1" customWidth="1"/>
    <col min="35" max="35" width="8.5703125" style="64" hidden="1" customWidth="1"/>
    <col min="36" max="36" width="13" style="64" hidden="1" customWidth="1"/>
    <col min="37" max="37" width="10.28515625" style="64" hidden="1" customWidth="1"/>
    <col min="38" max="38" width="15.28515625" style="64" hidden="1" customWidth="1"/>
    <col min="39" max="39" width="7.85546875" style="64" hidden="1" customWidth="1"/>
    <col min="40" max="40" width="15" style="64" hidden="1" customWidth="1"/>
    <col min="41" max="41" width="9.5703125" style="64" hidden="1" customWidth="1"/>
    <col min="42" max="42" width="15" style="64" hidden="1" customWidth="1"/>
    <col min="43" max="43" width="0.140625" style="64" hidden="1" customWidth="1"/>
    <col min="44" max="44" width="13.42578125" style="64" hidden="1" customWidth="1"/>
    <col min="45" max="45" width="8.85546875" style="64" hidden="1" customWidth="1"/>
    <col min="46" max="46" width="14.28515625" style="64" hidden="1" customWidth="1"/>
    <col min="47" max="47" width="7.28515625" style="64" hidden="1" customWidth="1"/>
    <col min="48" max="48" width="13.140625" style="64" hidden="1" customWidth="1"/>
    <col min="49" max="49" width="9.42578125" style="64" hidden="1" customWidth="1"/>
    <col min="50" max="50" width="13.28515625" style="64" hidden="1" customWidth="1"/>
    <col min="51" max="51" width="11.42578125" style="64" hidden="1" customWidth="1"/>
    <col min="52" max="52" width="16.7109375" style="64" hidden="1" customWidth="1"/>
    <col min="53" max="53" width="17.85546875" style="64" hidden="1" customWidth="1"/>
    <col min="54" max="54" width="12.85546875" style="64" hidden="1" customWidth="1"/>
    <col min="55" max="55" width="9.140625" style="64" hidden="1" customWidth="1"/>
    <col min="56" max="56" width="13.140625" style="64" hidden="1" customWidth="1"/>
    <col min="57" max="57" width="7.85546875" style="64" customWidth="1"/>
    <col min="58" max="58" width="10.7109375" style="64" customWidth="1"/>
    <col min="59" max="59" width="10.85546875" style="64" customWidth="1"/>
    <col min="60" max="60" width="10.28515625" style="64" customWidth="1"/>
    <col min="61" max="61" width="11.85546875" style="64" customWidth="1"/>
    <col min="62" max="16384" width="9.140625" style="64"/>
  </cols>
  <sheetData>
    <row r="1" spans="1:61" ht="15.75">
      <c r="A1" s="1"/>
      <c r="B1" s="697" t="s">
        <v>0</v>
      </c>
      <c r="C1" s="697"/>
      <c r="D1" s="69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4"/>
      <c r="W1" s="1"/>
      <c r="X1" s="1"/>
      <c r="Y1" s="1"/>
      <c r="Z1" s="1"/>
      <c r="AA1" s="1"/>
      <c r="AB1" s="1"/>
      <c r="AC1" s="1"/>
      <c r="AD1" s="14"/>
      <c r="AE1" s="1"/>
      <c r="AF1" s="1"/>
      <c r="AG1" s="1"/>
      <c r="AH1" s="1"/>
      <c r="AI1" s="1"/>
      <c r="AJ1" s="1"/>
      <c r="AK1" s="1"/>
      <c r="AL1" s="1"/>
      <c r="AM1" s="14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27.75" customHeight="1">
      <c r="A2" s="1"/>
      <c r="B2" s="698" t="s">
        <v>411</v>
      </c>
      <c r="C2" s="698"/>
      <c r="D2" s="698"/>
      <c r="E2" s="699"/>
      <c r="F2" s="699"/>
      <c r="G2" s="699"/>
      <c r="H2" s="699"/>
      <c r="I2" s="699"/>
      <c r="J2" s="699"/>
      <c r="K2" s="699"/>
      <c r="L2" s="91"/>
      <c r="M2" s="1"/>
      <c r="N2" s="1"/>
      <c r="O2" s="1"/>
      <c r="P2" s="1"/>
      <c r="Q2" s="1"/>
      <c r="R2" s="1"/>
      <c r="S2" s="1"/>
      <c r="T2" s="1"/>
      <c r="U2" s="1"/>
      <c r="V2" s="14"/>
      <c r="W2" s="1"/>
      <c r="X2" s="1"/>
      <c r="Y2" s="1"/>
      <c r="Z2" s="1"/>
      <c r="AA2" s="1"/>
      <c r="AB2" s="1"/>
      <c r="AC2" s="1"/>
      <c r="AD2" s="14"/>
      <c r="AE2" s="1"/>
      <c r="AF2" s="1"/>
      <c r="AG2" s="1"/>
      <c r="AH2" s="1"/>
      <c r="AI2" s="1"/>
      <c r="AJ2" s="1"/>
      <c r="AK2" s="1"/>
      <c r="AL2" s="1"/>
      <c r="AM2" s="14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5.75">
      <c r="A3" s="1"/>
      <c r="B3" s="697" t="s">
        <v>412</v>
      </c>
      <c r="C3" s="697"/>
      <c r="D3" s="697"/>
      <c r="E3" s="700"/>
      <c r="F3" s="700"/>
      <c r="G3" s="1"/>
      <c r="H3" s="1"/>
      <c r="I3" s="1"/>
      <c r="J3" s="1"/>
      <c r="K3" s="701" t="s">
        <v>439</v>
      </c>
      <c r="L3" s="701"/>
      <c r="M3" s="701"/>
      <c r="N3" s="701"/>
      <c r="O3" s="701"/>
      <c r="P3" s="701"/>
      <c r="Q3" s="701"/>
      <c r="R3" s="701"/>
      <c r="S3" s="701"/>
      <c r="T3" s="701"/>
      <c r="U3" s="1"/>
      <c r="V3" s="14"/>
      <c r="W3" s="1"/>
      <c r="X3" s="1"/>
      <c r="Y3" s="1"/>
      <c r="Z3" s="1"/>
      <c r="AA3" s="1"/>
      <c r="AB3" s="1"/>
      <c r="AC3" s="1"/>
      <c r="AD3" s="14"/>
      <c r="AE3" s="1"/>
      <c r="AF3" s="1"/>
      <c r="AG3" s="1"/>
      <c r="AH3" s="1"/>
      <c r="AI3" s="1"/>
      <c r="AJ3" s="1"/>
      <c r="AK3" s="1"/>
      <c r="AL3" s="1"/>
      <c r="AM3" s="14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5.75">
      <c r="A4" s="3"/>
      <c r="B4" s="3"/>
      <c r="C4" s="3"/>
      <c r="D4" s="3"/>
      <c r="E4" s="3"/>
      <c r="F4" s="3"/>
      <c r="G4" s="3" t="s">
        <v>1</v>
      </c>
      <c r="H4" s="65">
        <v>17697</v>
      </c>
      <c r="I4" s="3"/>
      <c r="J4" s="3"/>
      <c r="K4" s="702"/>
      <c r="L4" s="702"/>
      <c r="M4" s="702"/>
      <c r="N4" s="702"/>
      <c r="O4" s="702"/>
      <c r="P4" s="702"/>
      <c r="Q4" s="702"/>
      <c r="R4" s="702"/>
      <c r="S4" s="702"/>
      <c r="T4" s="702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</row>
    <row r="5" spans="1:61" ht="15" customHeight="1">
      <c r="A5" s="742" t="s">
        <v>2</v>
      </c>
      <c r="B5" s="695" t="s">
        <v>3</v>
      </c>
      <c r="C5" s="696" t="s">
        <v>4</v>
      </c>
      <c r="D5" s="695" t="s">
        <v>5</v>
      </c>
      <c r="E5" s="695" t="s">
        <v>6</v>
      </c>
      <c r="F5" s="695"/>
      <c r="G5" s="93"/>
      <c r="H5" s="93"/>
      <c r="I5" s="696" t="s">
        <v>7</v>
      </c>
      <c r="J5" s="696"/>
      <c r="K5" s="696"/>
      <c r="L5" s="696"/>
      <c r="M5" s="696"/>
      <c r="N5" s="696"/>
      <c r="O5" s="696"/>
      <c r="P5" s="696" t="s">
        <v>8</v>
      </c>
      <c r="Q5" s="696"/>
      <c r="R5" s="696"/>
      <c r="S5" s="696"/>
      <c r="T5" s="696"/>
      <c r="U5" s="696"/>
      <c r="V5" s="711" t="s">
        <v>66</v>
      </c>
      <c r="W5" s="712"/>
      <c r="X5" s="712"/>
      <c r="Y5" s="712"/>
      <c r="Z5" s="712"/>
      <c r="AA5" s="712"/>
      <c r="AB5" s="712"/>
      <c r="AC5" s="712"/>
      <c r="AD5" s="712"/>
      <c r="AE5" s="712"/>
      <c r="AF5" s="712"/>
      <c r="AG5" s="712"/>
      <c r="AH5" s="712"/>
      <c r="AI5" s="712"/>
      <c r="AJ5" s="712"/>
      <c r="AK5" s="712"/>
      <c r="AL5" s="712"/>
      <c r="AM5" s="712"/>
      <c r="AN5" s="712"/>
      <c r="AO5" s="712"/>
      <c r="AP5" s="712"/>
      <c r="AQ5" s="712"/>
      <c r="AR5" s="712"/>
      <c r="AS5" s="712"/>
      <c r="AT5" s="712"/>
      <c r="AU5" s="712"/>
      <c r="AV5" s="712"/>
      <c r="AW5" s="712"/>
      <c r="AX5" s="712"/>
      <c r="AY5" s="712"/>
      <c r="AZ5" s="712"/>
      <c r="BA5" s="712"/>
      <c r="BB5" s="712"/>
      <c r="BC5" s="712"/>
      <c r="BD5" s="712"/>
      <c r="BE5" s="712"/>
      <c r="BF5" s="712"/>
      <c r="BG5" s="83"/>
      <c r="BH5" s="695" t="s">
        <v>9</v>
      </c>
      <c r="BI5" s="695" t="s">
        <v>10</v>
      </c>
    </row>
    <row r="6" spans="1:61" ht="97.5" customHeight="1">
      <c r="A6" s="743"/>
      <c r="B6" s="695"/>
      <c r="C6" s="696"/>
      <c r="D6" s="695"/>
      <c r="E6" s="695" t="s">
        <v>11</v>
      </c>
      <c r="F6" s="695" t="s">
        <v>12</v>
      </c>
      <c r="G6" s="695" t="s">
        <v>13</v>
      </c>
      <c r="H6" s="695" t="s">
        <v>14</v>
      </c>
      <c r="I6" s="696" t="s">
        <v>15</v>
      </c>
      <c r="J6" s="696" t="s">
        <v>16</v>
      </c>
      <c r="K6" s="696"/>
      <c r="L6" s="696"/>
      <c r="M6" s="696"/>
      <c r="N6" s="696"/>
      <c r="O6" s="696"/>
      <c r="P6" s="696"/>
      <c r="Q6" s="696"/>
      <c r="R6" s="696"/>
      <c r="S6" s="696"/>
      <c r="T6" s="696"/>
      <c r="U6" s="696"/>
      <c r="V6" s="711" t="s">
        <v>67</v>
      </c>
      <c r="W6" s="713"/>
      <c r="X6" s="714" t="s">
        <v>92</v>
      </c>
      <c r="Y6" s="696" t="s">
        <v>17</v>
      </c>
      <c r="Z6" s="696"/>
      <c r="AA6" s="696"/>
      <c r="AB6" s="696"/>
      <c r="AC6" s="696"/>
      <c r="AD6" s="696"/>
      <c r="AE6" s="696"/>
      <c r="AF6" s="696"/>
      <c r="AG6" s="696"/>
      <c r="AH6" s="696"/>
      <c r="AI6" s="696"/>
      <c r="AJ6" s="696"/>
      <c r="AK6" s="696"/>
      <c r="AL6" s="93"/>
      <c r="AM6" s="696" t="s">
        <v>18</v>
      </c>
      <c r="AN6" s="696"/>
      <c r="AO6" s="696"/>
      <c r="AP6" s="696"/>
      <c r="AQ6" s="696" t="s">
        <v>64</v>
      </c>
      <c r="AR6" s="696"/>
      <c r="AS6" s="711" t="s">
        <v>69</v>
      </c>
      <c r="AT6" s="713"/>
      <c r="AU6" s="711" t="s">
        <v>70</v>
      </c>
      <c r="AV6" s="713"/>
      <c r="AW6" s="711" t="s">
        <v>71</v>
      </c>
      <c r="AX6" s="713"/>
      <c r="AY6" s="696" t="s">
        <v>65</v>
      </c>
      <c r="AZ6" s="696"/>
      <c r="BA6" s="696" t="s">
        <v>19</v>
      </c>
      <c r="BB6" s="696"/>
      <c r="BC6" s="696" t="s">
        <v>20</v>
      </c>
      <c r="BD6" s="696"/>
      <c r="BE6" s="711" t="s">
        <v>137</v>
      </c>
      <c r="BF6" s="713"/>
      <c r="BG6" s="696" t="s">
        <v>21</v>
      </c>
      <c r="BH6" s="695"/>
      <c r="BI6" s="695"/>
    </row>
    <row r="7" spans="1:61" ht="150">
      <c r="A7" s="744"/>
      <c r="B7" s="695"/>
      <c r="C7" s="696"/>
      <c r="D7" s="695"/>
      <c r="E7" s="695"/>
      <c r="F7" s="695"/>
      <c r="G7" s="695"/>
      <c r="H7" s="695"/>
      <c r="I7" s="696"/>
      <c r="J7" s="93" t="s">
        <v>22</v>
      </c>
      <c r="K7" s="93" t="s">
        <v>23</v>
      </c>
      <c r="L7" s="89" t="s">
        <v>39</v>
      </c>
      <c r="M7" s="89" t="s">
        <v>35</v>
      </c>
      <c r="N7" s="89" t="s">
        <v>302</v>
      </c>
      <c r="O7" s="93" t="s">
        <v>27</v>
      </c>
      <c r="P7" s="93" t="s">
        <v>22</v>
      </c>
      <c r="Q7" s="93" t="s">
        <v>23</v>
      </c>
      <c r="R7" s="93" t="s">
        <v>24</v>
      </c>
      <c r="S7" s="93" t="s">
        <v>25</v>
      </c>
      <c r="T7" s="300" t="s">
        <v>302</v>
      </c>
      <c r="U7" s="93" t="s">
        <v>28</v>
      </c>
      <c r="V7" s="93" t="s">
        <v>29</v>
      </c>
      <c r="W7" s="66" t="s">
        <v>30</v>
      </c>
      <c r="X7" s="714"/>
      <c r="Y7" s="93" t="s">
        <v>31</v>
      </c>
      <c r="Z7" s="93" t="s">
        <v>32</v>
      </c>
      <c r="AA7" s="93" t="s">
        <v>31</v>
      </c>
      <c r="AB7" s="93" t="s">
        <v>33</v>
      </c>
      <c r="AC7" s="93" t="s">
        <v>31</v>
      </c>
      <c r="AD7" s="93" t="s">
        <v>34</v>
      </c>
      <c r="AE7" s="93" t="s">
        <v>31</v>
      </c>
      <c r="AF7" s="93" t="s">
        <v>24</v>
      </c>
      <c r="AG7" s="93" t="s">
        <v>31</v>
      </c>
      <c r="AH7" s="93" t="s">
        <v>35</v>
      </c>
      <c r="AI7" s="93" t="s">
        <v>31</v>
      </c>
      <c r="AJ7" s="93" t="s">
        <v>26</v>
      </c>
      <c r="AK7" s="67" t="s">
        <v>36</v>
      </c>
      <c r="AL7" s="93" t="s">
        <v>37</v>
      </c>
      <c r="AM7" s="93" t="s">
        <v>38</v>
      </c>
      <c r="AN7" s="93" t="s">
        <v>39</v>
      </c>
      <c r="AO7" s="93" t="s">
        <v>38</v>
      </c>
      <c r="AP7" s="68" t="s">
        <v>40</v>
      </c>
      <c r="AQ7" s="93" t="s">
        <v>38</v>
      </c>
      <c r="AR7" s="93" t="s">
        <v>30</v>
      </c>
      <c r="AS7" s="93" t="s">
        <v>68</v>
      </c>
      <c r="AT7" s="93" t="s">
        <v>30</v>
      </c>
      <c r="AU7" s="93" t="s">
        <v>68</v>
      </c>
      <c r="AV7" s="93" t="s">
        <v>30</v>
      </c>
      <c r="AW7" s="93" t="s">
        <v>68</v>
      </c>
      <c r="AX7" s="93" t="s">
        <v>30</v>
      </c>
      <c r="AY7" s="93" t="s">
        <v>38</v>
      </c>
      <c r="AZ7" s="93" t="s">
        <v>30</v>
      </c>
      <c r="BA7" s="93" t="s">
        <v>41</v>
      </c>
      <c r="BB7" s="93" t="s">
        <v>30</v>
      </c>
      <c r="BC7" s="93" t="s">
        <v>29</v>
      </c>
      <c r="BD7" s="93" t="s">
        <v>30</v>
      </c>
      <c r="BE7" s="94" t="s">
        <v>134</v>
      </c>
      <c r="BF7" s="93" t="s">
        <v>30</v>
      </c>
      <c r="BG7" s="696"/>
      <c r="BH7" s="695"/>
      <c r="BI7" s="695"/>
    </row>
    <row r="8" spans="1:61">
      <c r="A8" s="92">
        <v>1</v>
      </c>
      <c r="B8" s="92">
        <v>2</v>
      </c>
      <c r="C8" s="92">
        <v>3</v>
      </c>
      <c r="D8" s="92">
        <v>4</v>
      </c>
      <c r="E8" s="92">
        <v>5</v>
      </c>
      <c r="F8" s="92">
        <v>6</v>
      </c>
      <c r="G8" s="92">
        <v>7</v>
      </c>
      <c r="H8" s="92">
        <v>8</v>
      </c>
      <c r="I8" s="92">
        <v>9</v>
      </c>
      <c r="J8" s="92">
        <v>10</v>
      </c>
      <c r="K8" s="92">
        <v>11</v>
      </c>
      <c r="L8" s="92">
        <v>12</v>
      </c>
      <c r="M8" s="92">
        <v>13</v>
      </c>
      <c r="N8" s="92">
        <v>14</v>
      </c>
      <c r="O8" s="92">
        <v>15</v>
      </c>
      <c r="P8" s="92">
        <v>16</v>
      </c>
      <c r="Q8" s="92">
        <v>17</v>
      </c>
      <c r="R8" s="92">
        <v>18</v>
      </c>
      <c r="S8" s="92">
        <v>19</v>
      </c>
      <c r="T8" s="92">
        <v>20</v>
      </c>
      <c r="U8" s="92">
        <v>21</v>
      </c>
      <c r="V8" s="92">
        <v>22</v>
      </c>
      <c r="W8" s="92">
        <v>23</v>
      </c>
      <c r="X8" s="92">
        <v>24</v>
      </c>
      <c r="Y8" s="92">
        <v>25</v>
      </c>
      <c r="Z8" s="92">
        <v>26</v>
      </c>
      <c r="AA8" s="92">
        <v>27</v>
      </c>
      <c r="AB8" s="92">
        <v>28</v>
      </c>
      <c r="AC8" s="92">
        <v>29</v>
      </c>
      <c r="AD8" s="92">
        <v>30</v>
      </c>
      <c r="AE8" s="92">
        <v>31</v>
      </c>
      <c r="AF8" s="92">
        <v>32</v>
      </c>
      <c r="AG8" s="92">
        <v>33</v>
      </c>
      <c r="AH8" s="92">
        <v>34</v>
      </c>
      <c r="AI8" s="92">
        <v>35</v>
      </c>
      <c r="AJ8" s="92">
        <v>36</v>
      </c>
      <c r="AK8" s="92">
        <v>37</v>
      </c>
      <c r="AL8" s="92">
        <v>38</v>
      </c>
      <c r="AM8" s="92">
        <v>39</v>
      </c>
      <c r="AN8" s="92">
        <v>40</v>
      </c>
      <c r="AO8" s="92">
        <v>41</v>
      </c>
      <c r="AP8" s="92">
        <v>42</v>
      </c>
      <c r="AQ8" s="92">
        <v>43</v>
      </c>
      <c r="AR8" s="92">
        <v>44</v>
      </c>
      <c r="AS8" s="92">
        <v>45</v>
      </c>
      <c r="AT8" s="92">
        <v>46</v>
      </c>
      <c r="AU8" s="92">
        <v>47</v>
      </c>
      <c r="AV8" s="92">
        <v>48</v>
      </c>
      <c r="AW8" s="92">
        <v>49</v>
      </c>
      <c r="AX8" s="92">
        <v>50</v>
      </c>
      <c r="AY8" s="92">
        <v>51</v>
      </c>
      <c r="AZ8" s="92">
        <v>52</v>
      </c>
      <c r="BA8" s="92">
        <v>53</v>
      </c>
      <c r="BB8" s="92">
        <v>54</v>
      </c>
      <c r="BC8" s="92">
        <v>55</v>
      </c>
      <c r="BD8" s="92">
        <v>56</v>
      </c>
      <c r="BE8" s="92"/>
      <c r="BF8" s="92">
        <v>57</v>
      </c>
      <c r="BG8" s="92">
        <v>58</v>
      </c>
      <c r="BH8" s="92">
        <v>59</v>
      </c>
      <c r="BI8" s="92">
        <v>60</v>
      </c>
    </row>
    <row r="9" spans="1:61" ht="18.75" customHeight="1">
      <c r="A9" s="62">
        <v>1</v>
      </c>
      <c r="B9" s="136" t="s">
        <v>183</v>
      </c>
      <c r="C9" s="239" t="s">
        <v>245</v>
      </c>
      <c r="D9" s="190" t="s">
        <v>163</v>
      </c>
      <c r="E9" s="219" t="s">
        <v>181</v>
      </c>
      <c r="F9" s="212">
        <v>1</v>
      </c>
      <c r="G9" s="190">
        <v>28.09</v>
      </c>
      <c r="H9" s="279">
        <v>5.2</v>
      </c>
      <c r="I9" s="187">
        <f t="shared" ref="I9" si="0">ROUND((((J9+K9))/24)+(L9+M9+N9)/18,2)</f>
        <v>0.44</v>
      </c>
      <c r="J9" s="232"/>
      <c r="K9" s="232"/>
      <c r="L9" s="233">
        <v>3</v>
      </c>
      <c r="M9" s="233">
        <v>5</v>
      </c>
      <c r="N9" s="233"/>
      <c r="O9" s="40">
        <f t="shared" ref="O9" si="1">SUM(J9:N9)</f>
        <v>8</v>
      </c>
      <c r="P9" s="43">
        <f t="shared" ref="P9" si="2">SUM(($H$4*H9)/24)*J9</f>
        <v>0</v>
      </c>
      <c r="Q9" s="40">
        <f t="shared" ref="Q9" si="3">SUM(($H$4*H9)/24)*K9</f>
        <v>0</v>
      </c>
      <c r="R9" s="42">
        <f t="shared" ref="R9" si="4">($H$4*H9)/18*L9</f>
        <v>15337.400000000001</v>
      </c>
      <c r="S9" s="42">
        <f t="shared" ref="S9" si="5">($H$4*H9)*M9/18</f>
        <v>25562.333333333336</v>
      </c>
      <c r="T9" s="40">
        <f t="shared" ref="T9" si="6">($H$4*H9)/18*N9</f>
        <v>0</v>
      </c>
      <c r="U9" s="42">
        <f t="shared" ref="U9" si="7">SUM(P9:T9)</f>
        <v>40899.733333333337</v>
      </c>
      <c r="V9" s="41"/>
      <c r="W9" s="40">
        <f t="shared" ref="W9" si="8">(U9*V9)/100</f>
        <v>0</v>
      </c>
      <c r="X9" s="42">
        <f t="shared" ref="X9" si="9">SUM(U9,W9)</f>
        <v>40899.733333333337</v>
      </c>
      <c r="Y9" s="41"/>
      <c r="Z9" s="42">
        <f t="shared" ref="Z9" si="10">($H$4*0.25)*Y9/18</f>
        <v>0</v>
      </c>
      <c r="AA9" s="39"/>
      <c r="AB9" s="9">
        <f t="shared" ref="AB9" si="11">SUM(($H$4*0.25)/18)*AA9</f>
        <v>0</v>
      </c>
      <c r="AC9" s="43"/>
      <c r="AD9" s="43">
        <f t="shared" ref="AD9" si="12">SUM(($H$4*0.25)/18*AC9)</f>
        <v>0</v>
      </c>
      <c r="AE9" s="41"/>
      <c r="AF9" s="9">
        <f t="shared" ref="AF9" si="13">SUM(($H$4*0.2)/18)*AE9</f>
        <v>0</v>
      </c>
      <c r="AG9" s="41"/>
      <c r="AH9" s="38">
        <f t="shared" ref="AH9" si="14">SUM(($H$4*0.2)/18)*AG9</f>
        <v>0</v>
      </c>
      <c r="AI9" s="41"/>
      <c r="AJ9" s="6">
        <f t="shared" ref="AJ9" si="15">SUM(($H$4*0.2)/18)*AI9</f>
        <v>0</v>
      </c>
      <c r="AK9" s="10">
        <f t="shared" ref="AK9:AL9" si="16">SUM(Y9,AA9,AC9,AE9,AG9,AI9)</f>
        <v>0</v>
      </c>
      <c r="AL9" s="9">
        <f t="shared" si="16"/>
        <v>0</v>
      </c>
      <c r="AM9" s="37"/>
      <c r="AN9" s="43">
        <f t="shared" ref="AN9" si="17">SUM($H$4*0.25)*AM9</f>
        <v>0</v>
      </c>
      <c r="AO9" s="39"/>
      <c r="AP9" s="40">
        <f t="shared" ref="AP9" si="18">SUM($H$4*0.3)*AO9</f>
        <v>0</v>
      </c>
      <c r="AQ9" s="43"/>
      <c r="AR9" s="43">
        <f t="shared" ref="AR9" si="19">SUM($H$4*0.2*AQ9)</f>
        <v>0</v>
      </c>
      <c r="AS9" s="41"/>
      <c r="AT9" s="43">
        <f t="shared" ref="AT9" si="20">SUM($H$4*$H9*AS9/18)</f>
        <v>0</v>
      </c>
      <c r="AU9" s="41"/>
      <c r="AV9" s="43">
        <f t="shared" ref="AV9" si="21">SUM($H$4*$H9*AU9/18)*0.7</f>
        <v>0</v>
      </c>
      <c r="AW9" s="37"/>
      <c r="AX9" s="43">
        <f t="shared" ref="AX9" si="22">SUM($H$4*$H9*AW9/18)*0.3</f>
        <v>0</v>
      </c>
      <c r="AY9" s="41"/>
      <c r="AZ9" s="38">
        <f t="shared" ref="AZ9" si="23">SUM(($H$4*0.25)/18)*AY9</f>
        <v>0</v>
      </c>
      <c r="BA9" s="43"/>
      <c r="BB9" s="43">
        <f t="shared" ref="BB9" si="24">SUM($H$4*0.2)*BA9</f>
        <v>0</v>
      </c>
      <c r="BC9" s="43"/>
      <c r="BD9" s="38">
        <f t="shared" ref="BD9" si="25">((($H$4*BC9)/100)*20)/100</f>
        <v>0</v>
      </c>
      <c r="BE9" s="40">
        <f t="shared" ref="BE9" si="26">SUM(O9)</f>
        <v>8</v>
      </c>
      <c r="BF9" s="378">
        <f>SUM(H4*200%)</f>
        <v>35394</v>
      </c>
      <c r="BG9" s="8">
        <f t="shared" ref="BG9" si="27">AL9+AN9+AP9+AT9+AV9+AX9+AZ9+BB9+BD9+BF9+AR9</f>
        <v>35394</v>
      </c>
      <c r="BH9" s="42">
        <f t="shared" ref="BH9" si="28">BG9</f>
        <v>35394</v>
      </c>
      <c r="BI9" s="42">
        <f>BH9*12</f>
        <v>424728</v>
      </c>
    </row>
    <row r="10" spans="1:61" ht="31.5">
      <c r="A10" s="85"/>
      <c r="B10" s="86" t="s">
        <v>99</v>
      </c>
      <c r="C10" s="6"/>
      <c r="D10" s="6"/>
      <c r="E10" s="5"/>
      <c r="F10" s="69"/>
      <c r="G10" s="8"/>
      <c r="H10" s="70"/>
      <c r="I10" s="86">
        <f t="shared" ref="I10:AN10" si="29">SUM(I9:I9)</f>
        <v>0.44</v>
      </c>
      <c r="J10" s="86">
        <f t="shared" si="29"/>
        <v>0</v>
      </c>
      <c r="K10" s="86">
        <f t="shared" si="29"/>
        <v>0</v>
      </c>
      <c r="L10" s="86">
        <f t="shared" si="29"/>
        <v>3</v>
      </c>
      <c r="M10" s="86">
        <f t="shared" si="29"/>
        <v>5</v>
      </c>
      <c r="N10" s="86">
        <f t="shared" si="29"/>
        <v>0</v>
      </c>
      <c r="O10" s="86">
        <f t="shared" si="29"/>
        <v>8</v>
      </c>
      <c r="P10" s="86">
        <f t="shared" si="29"/>
        <v>0</v>
      </c>
      <c r="Q10" s="86">
        <f t="shared" si="29"/>
        <v>0</v>
      </c>
      <c r="R10" s="266">
        <f t="shared" si="29"/>
        <v>15337.400000000001</v>
      </c>
      <c r="S10" s="266">
        <f t="shared" si="29"/>
        <v>25562.333333333336</v>
      </c>
      <c r="T10" s="86">
        <f t="shared" si="29"/>
        <v>0</v>
      </c>
      <c r="U10" s="266">
        <f t="shared" si="29"/>
        <v>40899.733333333337</v>
      </c>
      <c r="V10" s="86">
        <f t="shared" si="29"/>
        <v>0</v>
      </c>
      <c r="W10" s="86">
        <f t="shared" si="29"/>
        <v>0</v>
      </c>
      <c r="X10" s="266">
        <f t="shared" si="29"/>
        <v>40899.733333333337</v>
      </c>
      <c r="Y10" s="86">
        <f t="shared" si="29"/>
        <v>0</v>
      </c>
      <c r="Z10" s="86">
        <f t="shared" si="29"/>
        <v>0</v>
      </c>
      <c r="AA10" s="86">
        <f t="shared" si="29"/>
        <v>0</v>
      </c>
      <c r="AB10" s="86">
        <f t="shared" si="29"/>
        <v>0</v>
      </c>
      <c r="AC10" s="86">
        <f t="shared" si="29"/>
        <v>0</v>
      </c>
      <c r="AD10" s="86">
        <f t="shared" si="29"/>
        <v>0</v>
      </c>
      <c r="AE10" s="86">
        <f t="shared" si="29"/>
        <v>0</v>
      </c>
      <c r="AF10" s="86">
        <f t="shared" si="29"/>
        <v>0</v>
      </c>
      <c r="AG10" s="86">
        <f t="shared" si="29"/>
        <v>0</v>
      </c>
      <c r="AH10" s="86">
        <f t="shared" si="29"/>
        <v>0</v>
      </c>
      <c r="AI10" s="86">
        <f t="shared" si="29"/>
        <v>0</v>
      </c>
      <c r="AJ10" s="86">
        <f t="shared" si="29"/>
        <v>0</v>
      </c>
      <c r="AK10" s="86">
        <f t="shared" si="29"/>
        <v>0</v>
      </c>
      <c r="AL10" s="86">
        <f t="shared" si="29"/>
        <v>0</v>
      </c>
      <c r="AM10" s="86">
        <f t="shared" si="29"/>
        <v>0</v>
      </c>
      <c r="AN10" s="86">
        <f t="shared" si="29"/>
        <v>0</v>
      </c>
      <c r="AO10" s="86">
        <f t="shared" ref="AO10:BI10" si="30">SUM(AO9:AO9)</f>
        <v>0</v>
      </c>
      <c r="AP10" s="86">
        <f t="shared" si="30"/>
        <v>0</v>
      </c>
      <c r="AQ10" s="86">
        <f t="shared" si="30"/>
        <v>0</v>
      </c>
      <c r="AR10" s="86">
        <f t="shared" si="30"/>
        <v>0</v>
      </c>
      <c r="AS10" s="86">
        <f t="shared" si="30"/>
        <v>0</v>
      </c>
      <c r="AT10" s="86">
        <f t="shared" si="30"/>
        <v>0</v>
      </c>
      <c r="AU10" s="86">
        <f t="shared" si="30"/>
        <v>0</v>
      </c>
      <c r="AV10" s="86">
        <f t="shared" si="30"/>
        <v>0</v>
      </c>
      <c r="AW10" s="86">
        <f t="shared" si="30"/>
        <v>0</v>
      </c>
      <c r="AX10" s="86">
        <f t="shared" si="30"/>
        <v>0</v>
      </c>
      <c r="AY10" s="86">
        <f t="shared" si="30"/>
        <v>0</v>
      </c>
      <c r="AZ10" s="86">
        <f t="shared" si="30"/>
        <v>0</v>
      </c>
      <c r="BA10" s="86">
        <f t="shared" si="30"/>
        <v>0</v>
      </c>
      <c r="BB10" s="86">
        <f t="shared" si="30"/>
        <v>0</v>
      </c>
      <c r="BC10" s="86">
        <f t="shared" si="30"/>
        <v>0</v>
      </c>
      <c r="BD10" s="86">
        <f t="shared" si="30"/>
        <v>0</v>
      </c>
      <c r="BE10" s="86">
        <f t="shared" si="30"/>
        <v>8</v>
      </c>
      <c r="BF10" s="266">
        <f t="shared" si="30"/>
        <v>35394</v>
      </c>
      <c r="BG10" s="266">
        <f t="shared" si="30"/>
        <v>35394</v>
      </c>
      <c r="BH10" s="266">
        <f t="shared" si="30"/>
        <v>35394</v>
      </c>
      <c r="BI10" s="266">
        <f t="shared" si="30"/>
        <v>424728</v>
      </c>
    </row>
    <row r="11" spans="1:61" ht="20.100000000000001" customHeight="1">
      <c r="A11" s="63"/>
      <c r="B11" s="73" t="s">
        <v>103</v>
      </c>
      <c r="C11" s="73"/>
      <c r="D11" s="73"/>
      <c r="E11" s="73"/>
      <c r="F11" s="74"/>
      <c r="G11" s="73"/>
      <c r="H11" s="70"/>
      <c r="I11" s="75">
        <f>SUM(I10)</f>
        <v>0.44</v>
      </c>
      <c r="J11" s="75">
        <f t="shared" ref="J11:BI11" si="31">SUM(J10)</f>
        <v>0</v>
      </c>
      <c r="K11" s="75">
        <f t="shared" si="31"/>
        <v>0</v>
      </c>
      <c r="L11" s="75">
        <f t="shared" si="31"/>
        <v>3</v>
      </c>
      <c r="M11" s="75">
        <f t="shared" si="31"/>
        <v>5</v>
      </c>
      <c r="N11" s="75">
        <f t="shared" si="31"/>
        <v>0</v>
      </c>
      <c r="O11" s="75">
        <f t="shared" si="31"/>
        <v>8</v>
      </c>
      <c r="P11" s="75">
        <f t="shared" si="31"/>
        <v>0</v>
      </c>
      <c r="Q11" s="75">
        <f t="shared" si="31"/>
        <v>0</v>
      </c>
      <c r="R11" s="268">
        <f t="shared" si="31"/>
        <v>15337.400000000001</v>
      </c>
      <c r="S11" s="268">
        <f t="shared" si="31"/>
        <v>25562.333333333336</v>
      </c>
      <c r="T11" s="75">
        <f t="shared" si="31"/>
        <v>0</v>
      </c>
      <c r="U11" s="268">
        <f t="shared" si="31"/>
        <v>40899.733333333337</v>
      </c>
      <c r="V11" s="75">
        <f t="shared" si="31"/>
        <v>0</v>
      </c>
      <c r="W11" s="75">
        <f t="shared" si="31"/>
        <v>0</v>
      </c>
      <c r="X11" s="268">
        <f t="shared" si="31"/>
        <v>40899.733333333337</v>
      </c>
      <c r="Y11" s="75">
        <f t="shared" si="31"/>
        <v>0</v>
      </c>
      <c r="Z11" s="75">
        <f t="shared" si="31"/>
        <v>0</v>
      </c>
      <c r="AA11" s="75">
        <f t="shared" si="31"/>
        <v>0</v>
      </c>
      <c r="AB11" s="75">
        <f t="shared" si="31"/>
        <v>0</v>
      </c>
      <c r="AC11" s="75">
        <f t="shared" si="31"/>
        <v>0</v>
      </c>
      <c r="AD11" s="75">
        <f t="shared" si="31"/>
        <v>0</v>
      </c>
      <c r="AE11" s="75">
        <f t="shared" si="31"/>
        <v>0</v>
      </c>
      <c r="AF11" s="75">
        <f t="shared" si="31"/>
        <v>0</v>
      </c>
      <c r="AG11" s="75">
        <f t="shared" si="31"/>
        <v>0</v>
      </c>
      <c r="AH11" s="75">
        <f t="shared" si="31"/>
        <v>0</v>
      </c>
      <c r="AI11" s="75">
        <f t="shared" si="31"/>
        <v>0</v>
      </c>
      <c r="AJ11" s="75">
        <f t="shared" si="31"/>
        <v>0</v>
      </c>
      <c r="AK11" s="75">
        <f t="shared" si="31"/>
        <v>0</v>
      </c>
      <c r="AL11" s="75">
        <f t="shared" si="31"/>
        <v>0</v>
      </c>
      <c r="AM11" s="75">
        <f t="shared" si="31"/>
        <v>0</v>
      </c>
      <c r="AN11" s="75">
        <f t="shared" si="31"/>
        <v>0</v>
      </c>
      <c r="AO11" s="75">
        <f t="shared" si="31"/>
        <v>0</v>
      </c>
      <c r="AP11" s="75">
        <f t="shared" si="31"/>
        <v>0</v>
      </c>
      <c r="AQ11" s="75">
        <f t="shared" si="31"/>
        <v>0</v>
      </c>
      <c r="AR11" s="75">
        <f t="shared" si="31"/>
        <v>0</v>
      </c>
      <c r="AS11" s="75">
        <f t="shared" si="31"/>
        <v>0</v>
      </c>
      <c r="AT11" s="75">
        <f t="shared" si="31"/>
        <v>0</v>
      </c>
      <c r="AU11" s="75">
        <f t="shared" si="31"/>
        <v>0</v>
      </c>
      <c r="AV11" s="75">
        <f t="shared" si="31"/>
        <v>0</v>
      </c>
      <c r="AW11" s="75">
        <f t="shared" si="31"/>
        <v>0</v>
      </c>
      <c r="AX11" s="75">
        <f t="shared" si="31"/>
        <v>0</v>
      </c>
      <c r="AY11" s="75">
        <f t="shared" si="31"/>
        <v>0</v>
      </c>
      <c r="AZ11" s="75">
        <f t="shared" si="31"/>
        <v>0</v>
      </c>
      <c r="BA11" s="75">
        <f t="shared" si="31"/>
        <v>0</v>
      </c>
      <c r="BB11" s="75">
        <f t="shared" si="31"/>
        <v>0</v>
      </c>
      <c r="BC11" s="75">
        <f t="shared" si="31"/>
        <v>0</v>
      </c>
      <c r="BD11" s="75">
        <f t="shared" si="31"/>
        <v>0</v>
      </c>
      <c r="BE11" s="75">
        <f t="shared" si="31"/>
        <v>8</v>
      </c>
      <c r="BF11" s="268">
        <f t="shared" si="31"/>
        <v>35394</v>
      </c>
      <c r="BG11" s="268">
        <f t="shared" si="31"/>
        <v>35394</v>
      </c>
      <c r="BH11" s="268">
        <f t="shared" si="31"/>
        <v>35394</v>
      </c>
      <c r="BI11" s="268">
        <f t="shared" si="31"/>
        <v>424728</v>
      </c>
    </row>
    <row r="12" spans="1:61" ht="15.75">
      <c r="A12" s="11"/>
      <c r="B12" s="13"/>
      <c r="C12" s="13"/>
      <c r="D12" s="13"/>
      <c r="E12" s="13"/>
      <c r="F12" s="76"/>
      <c r="G12" s="13"/>
      <c r="H12" s="13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</row>
    <row r="13" spans="1:61" ht="15.75">
      <c r="A13" s="13"/>
      <c r="B13" s="57"/>
      <c r="C13" s="302" t="s">
        <v>217</v>
      </c>
      <c r="D13" s="262"/>
      <c r="E13" s="293"/>
      <c r="F13" s="293"/>
      <c r="G13" s="104"/>
      <c r="H13" s="104"/>
      <c r="I13" s="104" t="s">
        <v>145</v>
      </c>
      <c r="J13" s="262"/>
      <c r="K13" s="262"/>
      <c r="L13" s="262"/>
      <c r="M13" s="262"/>
      <c r="N13" s="262"/>
      <c r="O13" s="262"/>
      <c r="P13" s="262"/>
      <c r="Q13" s="262"/>
      <c r="R13" s="262"/>
      <c r="S13" s="14"/>
      <c r="T13" s="295" t="s">
        <v>358</v>
      </c>
      <c r="U13" s="262"/>
      <c r="V13" s="14"/>
      <c r="W13" s="59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8" t="s">
        <v>357</v>
      </c>
      <c r="BH13" s="298"/>
      <c r="BI13" s="14"/>
    </row>
    <row r="14" spans="1:61" ht="15.75">
      <c r="A14" s="13"/>
      <c r="B14" s="14"/>
      <c r="C14" s="262"/>
      <c r="D14" s="262"/>
      <c r="E14" s="293"/>
      <c r="F14" s="293"/>
      <c r="G14" s="105"/>
      <c r="H14" s="105"/>
      <c r="I14" s="105"/>
      <c r="J14" s="262"/>
      <c r="K14" s="262"/>
      <c r="L14" s="262"/>
      <c r="M14" s="262"/>
      <c r="N14" s="262"/>
      <c r="O14" s="262"/>
      <c r="P14" s="262"/>
      <c r="Q14" s="262"/>
      <c r="R14" s="262"/>
      <c r="S14" s="14"/>
      <c r="T14" s="262"/>
      <c r="U14" s="262" t="s">
        <v>43</v>
      </c>
      <c r="V14" s="14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14"/>
    </row>
    <row r="15" spans="1:61" ht="15.75">
      <c r="A15" s="14"/>
      <c r="B15" s="14"/>
      <c r="C15" s="58" t="s">
        <v>96</v>
      </c>
      <c r="D15" s="58"/>
      <c r="E15" s="58"/>
      <c r="F15" s="58"/>
      <c r="G15" s="104"/>
      <c r="H15" s="104"/>
      <c r="I15" s="104" t="s">
        <v>147</v>
      </c>
      <c r="J15" s="262"/>
      <c r="K15" s="262"/>
      <c r="L15" s="262"/>
      <c r="M15" s="262"/>
      <c r="N15" s="262"/>
      <c r="O15" s="262"/>
      <c r="P15" s="262"/>
      <c r="Q15" s="262"/>
      <c r="R15" s="262"/>
      <c r="S15" s="14"/>
      <c r="T15" s="438" t="s">
        <v>376</v>
      </c>
      <c r="U15" s="438"/>
      <c r="V15" s="14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 t="s">
        <v>374</v>
      </c>
      <c r="BH15" s="59"/>
      <c r="BI15" s="14"/>
    </row>
    <row r="16" spans="1:61" ht="15.75">
      <c r="A16" s="14"/>
      <c r="B16" s="14"/>
      <c r="C16" s="58"/>
      <c r="D16" s="58"/>
      <c r="E16" s="58"/>
      <c r="F16" s="58"/>
      <c r="G16" s="58"/>
      <c r="H16" s="58"/>
      <c r="I16" s="58"/>
      <c r="J16" s="58"/>
      <c r="K16" s="262"/>
      <c r="L16" s="262"/>
      <c r="M16" s="262"/>
      <c r="N16" s="262"/>
      <c r="O16" s="262"/>
      <c r="P16" s="262"/>
      <c r="Q16" s="262"/>
      <c r="R16" s="262"/>
      <c r="S16" s="14"/>
      <c r="T16" s="262"/>
      <c r="U16" s="262"/>
      <c r="V16" s="14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14"/>
    </row>
    <row r="17" spans="1:61" ht="15.75">
      <c r="A17" s="14"/>
      <c r="B17" s="14"/>
      <c r="C17" s="58" t="s">
        <v>97</v>
      </c>
      <c r="D17" s="58"/>
      <c r="E17" s="58"/>
      <c r="F17" s="58"/>
      <c r="G17" s="58"/>
      <c r="H17" s="58"/>
      <c r="I17" s="58" t="s">
        <v>363</v>
      </c>
      <c r="J17" s="262"/>
      <c r="K17" s="262"/>
      <c r="L17" s="262"/>
      <c r="M17" s="262"/>
      <c r="N17" s="262"/>
      <c r="O17" s="262"/>
      <c r="P17" s="262"/>
      <c r="Q17" s="262"/>
      <c r="R17" s="262"/>
      <c r="S17" s="14"/>
      <c r="T17" s="746" t="s">
        <v>45</v>
      </c>
      <c r="U17" s="746"/>
      <c r="V17" s="14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 t="s">
        <v>46</v>
      </c>
      <c r="BH17" s="59"/>
      <c r="BI17" s="14"/>
    </row>
    <row r="18" spans="1:61">
      <c r="A18" s="1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5.75">
      <c r="A19" s="1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59" t="s">
        <v>295</v>
      </c>
      <c r="U19" s="1"/>
      <c r="V19" s="1"/>
      <c r="W19" s="1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59"/>
      <c r="BG19" s="59" t="s">
        <v>296</v>
      </c>
      <c r="BH19" s="59"/>
      <c r="BI19" s="1"/>
    </row>
    <row r="20" spans="1:6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>
      <c r="A21" s="1"/>
    </row>
    <row r="22" spans="1:61">
      <c r="A22" s="1"/>
    </row>
  </sheetData>
  <mergeCells count="35">
    <mergeCell ref="T17:U17"/>
    <mergeCell ref="X6:X7"/>
    <mergeCell ref="Y6:AK6"/>
    <mergeCell ref="A5:A7"/>
    <mergeCell ref="B5:B7"/>
    <mergeCell ref="C5:C7"/>
    <mergeCell ref="D5:D7"/>
    <mergeCell ref="E5:F5"/>
    <mergeCell ref="AM6:AP6"/>
    <mergeCell ref="AQ6:AR6"/>
    <mergeCell ref="AS6:AT6"/>
    <mergeCell ref="V5:BF5"/>
    <mergeCell ref="B1:D1"/>
    <mergeCell ref="B2:K2"/>
    <mergeCell ref="B3:F3"/>
    <mergeCell ref="K3:T3"/>
    <mergeCell ref="K4:T4"/>
    <mergeCell ref="I5:O5"/>
    <mergeCell ref="P5:U6"/>
    <mergeCell ref="BH5:BH7"/>
    <mergeCell ref="BI5:BI7"/>
    <mergeCell ref="E6:E7"/>
    <mergeCell ref="F6:F7"/>
    <mergeCell ref="G6:G7"/>
    <mergeCell ref="H6:H7"/>
    <mergeCell ref="I6:I7"/>
    <mergeCell ref="J6:O6"/>
    <mergeCell ref="BG6:BG7"/>
    <mergeCell ref="BC6:BD6"/>
    <mergeCell ref="BE6:BF6"/>
    <mergeCell ref="AU6:AV6"/>
    <mergeCell ref="AW6:AX6"/>
    <mergeCell ref="AY6:AZ6"/>
    <mergeCell ref="BA6:BB6"/>
    <mergeCell ref="V6:W6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colBreaks count="1" manualBreakCount="1">
    <brk id="2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31"/>
  <sheetViews>
    <sheetView view="pageBreakPreview" topLeftCell="A4" zoomScale="74" zoomScaleNormal="80" zoomScaleSheetLayoutView="74" workbookViewId="0">
      <selection activeCell="O17" sqref="O17"/>
    </sheetView>
  </sheetViews>
  <sheetFormatPr defaultColWidth="9.140625" defaultRowHeight="15"/>
  <cols>
    <col min="1" max="1" width="7.28515625" style="64" customWidth="1"/>
    <col min="2" max="2" width="23.140625" style="64" customWidth="1"/>
    <col min="3" max="3" width="13.7109375" style="64" customWidth="1"/>
    <col min="4" max="4" width="7.28515625" style="64" bestFit="1" customWidth="1"/>
    <col min="5" max="5" width="6.7109375" style="64" customWidth="1"/>
    <col min="6" max="6" width="12.42578125" style="64" customWidth="1"/>
    <col min="7" max="7" width="8.140625" style="64" customWidth="1"/>
    <col min="8" max="8" width="9.7109375" style="64" customWidth="1"/>
    <col min="9" max="9" width="6.85546875" style="64" customWidth="1"/>
    <col min="10" max="10" width="7.7109375" style="64" customWidth="1"/>
    <col min="11" max="11" width="5.7109375" style="64" customWidth="1"/>
    <col min="12" max="12" width="5.42578125" style="64" customWidth="1"/>
    <col min="13" max="13" width="5" style="64" customWidth="1"/>
    <col min="14" max="14" width="5.42578125" style="64" customWidth="1"/>
    <col min="15" max="15" width="6.28515625" style="64" customWidth="1"/>
    <col min="16" max="16" width="7.5703125" style="64" customWidth="1"/>
    <col min="17" max="17" width="10.5703125" style="64" customWidth="1"/>
    <col min="18" max="18" width="16" style="64" customWidth="1"/>
    <col min="19" max="19" width="12.7109375" style="64" customWidth="1"/>
    <col min="20" max="20" width="5" style="64" customWidth="1"/>
    <col min="21" max="21" width="14.85546875" style="64" customWidth="1"/>
    <col min="22" max="22" width="8.28515625" style="64" customWidth="1"/>
    <col min="23" max="23" width="10.42578125" style="64" customWidth="1"/>
    <col min="24" max="24" width="18.5703125" style="64" customWidth="1"/>
    <col min="25" max="25" width="6.7109375" style="64" customWidth="1"/>
    <col min="26" max="26" width="5.85546875" style="64" customWidth="1"/>
    <col min="27" max="27" width="7.28515625" style="64" customWidth="1"/>
    <col min="28" max="28" width="5.85546875" style="64" customWidth="1"/>
    <col min="29" max="29" width="7.140625" style="64" customWidth="1"/>
    <col min="30" max="30" width="11.7109375" style="64" customWidth="1"/>
    <col min="31" max="31" width="7.42578125" style="64" customWidth="1"/>
    <col min="32" max="32" width="11.140625" style="64" customWidth="1"/>
    <col min="33" max="33" width="13.28515625" style="64" customWidth="1"/>
    <col min="34" max="34" width="12" style="64" customWidth="1"/>
    <col min="35" max="35" width="13.5703125" style="64" customWidth="1"/>
    <col min="36" max="36" width="4.5703125" style="64" customWidth="1"/>
    <col min="37" max="37" width="5.5703125" style="64" customWidth="1"/>
    <col min="38" max="16384" width="9.140625" style="64"/>
  </cols>
  <sheetData>
    <row r="1" spans="1:1025" ht="15.75">
      <c r="A1" s="1"/>
      <c r="B1" s="697" t="s">
        <v>0</v>
      </c>
      <c r="C1" s="697"/>
      <c r="D1" s="69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4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1025" ht="27.75" customHeight="1">
      <c r="A2" s="1"/>
      <c r="B2" s="698" t="s">
        <v>438</v>
      </c>
      <c r="C2" s="698"/>
      <c r="D2" s="698"/>
      <c r="E2" s="699"/>
      <c r="F2" s="699"/>
      <c r="G2" s="699"/>
      <c r="H2" s="699"/>
      <c r="I2" s="699"/>
      <c r="J2" s="699"/>
      <c r="K2" s="699"/>
      <c r="L2" s="91"/>
      <c r="M2" s="1"/>
      <c r="N2" s="1"/>
      <c r="O2" s="1"/>
      <c r="P2" s="1"/>
      <c r="Q2" s="1"/>
      <c r="R2" s="1"/>
      <c r="S2" s="1"/>
      <c r="T2" s="1"/>
      <c r="U2" s="1"/>
      <c r="V2" s="14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1025" ht="15.75">
      <c r="A3" s="1"/>
      <c r="B3" s="697" t="s">
        <v>412</v>
      </c>
      <c r="C3" s="697"/>
      <c r="D3" s="697"/>
      <c r="E3" s="700"/>
      <c r="F3" s="700"/>
      <c r="G3" s="1"/>
      <c r="H3" s="1"/>
      <c r="I3" s="1"/>
      <c r="J3" s="1"/>
      <c r="K3" s="701" t="s">
        <v>447</v>
      </c>
      <c r="L3" s="701"/>
      <c r="M3" s="701"/>
      <c r="N3" s="701"/>
      <c r="O3" s="701"/>
      <c r="P3" s="701"/>
      <c r="Q3" s="701"/>
      <c r="R3" s="701"/>
      <c r="S3" s="701"/>
      <c r="T3" s="701"/>
      <c r="U3" s="1"/>
      <c r="V3" s="14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1025" ht="15.75">
      <c r="A4" s="3"/>
      <c r="B4" s="3"/>
      <c r="C4" s="3"/>
      <c r="D4" s="3"/>
      <c r="E4" s="3"/>
      <c r="F4" s="3"/>
      <c r="G4" s="3" t="s">
        <v>1</v>
      </c>
      <c r="H4" s="65">
        <v>17697</v>
      </c>
      <c r="I4" s="3"/>
      <c r="J4" s="3"/>
      <c r="K4" s="702"/>
      <c r="L4" s="702"/>
      <c r="M4" s="702"/>
      <c r="N4" s="702"/>
      <c r="O4" s="702"/>
      <c r="P4" s="702"/>
      <c r="Q4" s="702"/>
      <c r="R4" s="702"/>
      <c r="S4" s="702"/>
      <c r="T4" s="702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1025" ht="15" customHeight="1">
      <c r="A5" s="742" t="s">
        <v>2</v>
      </c>
      <c r="B5" s="695" t="s">
        <v>3</v>
      </c>
      <c r="C5" s="696" t="s">
        <v>4</v>
      </c>
      <c r="D5" s="695" t="s">
        <v>5</v>
      </c>
      <c r="E5" s="695" t="s">
        <v>6</v>
      </c>
      <c r="F5" s="695"/>
      <c r="G5" s="93"/>
      <c r="H5" s="93"/>
      <c r="I5" s="696" t="s">
        <v>7</v>
      </c>
      <c r="J5" s="696"/>
      <c r="K5" s="696"/>
      <c r="L5" s="696"/>
      <c r="M5" s="696"/>
      <c r="N5" s="696"/>
      <c r="O5" s="696"/>
      <c r="P5" s="696" t="s">
        <v>8</v>
      </c>
      <c r="Q5" s="696"/>
      <c r="R5" s="696"/>
      <c r="S5" s="696"/>
      <c r="T5" s="696"/>
      <c r="U5" s="696"/>
      <c r="V5" s="711" t="s">
        <v>66</v>
      </c>
      <c r="W5" s="712"/>
      <c r="X5" s="712"/>
      <c r="Y5" s="712"/>
      <c r="Z5" s="712"/>
      <c r="AA5" s="712"/>
      <c r="AB5" s="712"/>
      <c r="AC5" s="712"/>
      <c r="AD5" s="712"/>
      <c r="AE5" s="712"/>
      <c r="AF5" s="712"/>
      <c r="AG5" s="83"/>
      <c r="AH5" s="695" t="s">
        <v>9</v>
      </c>
      <c r="AI5" s="695" t="s">
        <v>10</v>
      </c>
      <c r="AJ5" s="708" t="s">
        <v>91</v>
      </c>
      <c r="AK5" s="708"/>
    </row>
    <row r="6" spans="1:1025" ht="97.5" customHeight="1">
      <c r="A6" s="743"/>
      <c r="B6" s="695"/>
      <c r="C6" s="696"/>
      <c r="D6" s="695"/>
      <c r="E6" s="695" t="s">
        <v>11</v>
      </c>
      <c r="F6" s="695" t="s">
        <v>12</v>
      </c>
      <c r="G6" s="695" t="s">
        <v>13</v>
      </c>
      <c r="H6" s="695" t="s">
        <v>14</v>
      </c>
      <c r="I6" s="696" t="s">
        <v>15</v>
      </c>
      <c r="J6" s="696" t="s">
        <v>16</v>
      </c>
      <c r="K6" s="696"/>
      <c r="L6" s="696"/>
      <c r="M6" s="696"/>
      <c r="N6" s="696"/>
      <c r="O6" s="696"/>
      <c r="P6" s="696"/>
      <c r="Q6" s="696"/>
      <c r="R6" s="696"/>
      <c r="S6" s="696"/>
      <c r="T6" s="696"/>
      <c r="U6" s="696"/>
      <c r="V6" s="711" t="s">
        <v>67</v>
      </c>
      <c r="W6" s="713"/>
      <c r="X6" s="714"/>
      <c r="Y6" s="711" t="s">
        <v>138</v>
      </c>
      <c r="Z6" s="713"/>
      <c r="AA6" s="711" t="s">
        <v>139</v>
      </c>
      <c r="AB6" s="713"/>
      <c r="AC6" s="711" t="s">
        <v>140</v>
      </c>
      <c r="AD6" s="713"/>
      <c r="AE6" s="711" t="s">
        <v>141</v>
      </c>
      <c r="AF6" s="713"/>
      <c r="AG6" s="696" t="s">
        <v>21</v>
      </c>
      <c r="AH6" s="695"/>
      <c r="AI6" s="695"/>
      <c r="AJ6" s="708"/>
      <c r="AK6" s="708"/>
    </row>
    <row r="7" spans="1:1025" ht="68.25" customHeight="1">
      <c r="A7" s="744"/>
      <c r="B7" s="695"/>
      <c r="C7" s="696"/>
      <c r="D7" s="695"/>
      <c r="E7" s="695"/>
      <c r="F7" s="695"/>
      <c r="G7" s="695"/>
      <c r="H7" s="695"/>
      <c r="I7" s="696"/>
      <c r="J7" s="93" t="s">
        <v>22</v>
      </c>
      <c r="K7" s="93" t="s">
        <v>23</v>
      </c>
      <c r="L7" s="89" t="s">
        <v>39</v>
      </c>
      <c r="M7" s="89" t="s">
        <v>35</v>
      </c>
      <c r="N7" s="89" t="s">
        <v>302</v>
      </c>
      <c r="O7" s="93" t="s">
        <v>27</v>
      </c>
      <c r="P7" s="93" t="s">
        <v>22</v>
      </c>
      <c r="Q7" s="93" t="s">
        <v>23</v>
      </c>
      <c r="R7" s="300" t="s">
        <v>39</v>
      </c>
      <c r="S7" s="300" t="s">
        <v>35</v>
      </c>
      <c r="T7" s="300" t="s">
        <v>302</v>
      </c>
      <c r="U7" s="93" t="s">
        <v>28</v>
      </c>
      <c r="V7" s="93" t="s">
        <v>29</v>
      </c>
      <c r="W7" s="66" t="s">
        <v>30</v>
      </c>
      <c r="X7" s="714"/>
      <c r="Y7" s="93" t="s">
        <v>68</v>
      </c>
      <c r="Z7" s="93" t="s">
        <v>30</v>
      </c>
      <c r="AA7" s="93" t="s">
        <v>68</v>
      </c>
      <c r="AB7" s="93" t="s">
        <v>30</v>
      </c>
      <c r="AC7" s="93" t="s">
        <v>68</v>
      </c>
      <c r="AD7" s="93" t="s">
        <v>30</v>
      </c>
      <c r="AE7" s="93" t="s">
        <v>68</v>
      </c>
      <c r="AF7" s="93" t="s">
        <v>30</v>
      </c>
      <c r="AG7" s="696"/>
      <c r="AH7" s="695"/>
      <c r="AI7" s="695"/>
      <c r="AJ7" s="79" t="s">
        <v>93</v>
      </c>
      <c r="AK7" s="79" t="s">
        <v>30</v>
      </c>
    </row>
    <row r="8" spans="1:1025">
      <c r="A8" s="92">
        <v>1</v>
      </c>
      <c r="B8" s="92">
        <v>2</v>
      </c>
      <c r="C8" s="92">
        <v>3</v>
      </c>
      <c r="D8" s="92">
        <v>4</v>
      </c>
      <c r="E8" s="92">
        <v>5</v>
      </c>
      <c r="F8" s="92">
        <v>6</v>
      </c>
      <c r="G8" s="92">
        <v>7</v>
      </c>
      <c r="H8" s="92">
        <v>8</v>
      </c>
      <c r="I8" s="92">
        <v>9</v>
      </c>
      <c r="J8" s="92">
        <v>10</v>
      </c>
      <c r="K8" s="92">
        <v>11</v>
      </c>
      <c r="L8" s="92">
        <v>12</v>
      </c>
      <c r="M8" s="92">
        <v>13</v>
      </c>
      <c r="N8" s="92">
        <v>14</v>
      </c>
      <c r="O8" s="92">
        <v>15</v>
      </c>
      <c r="P8" s="92">
        <v>16</v>
      </c>
      <c r="Q8" s="92">
        <v>17</v>
      </c>
      <c r="R8" s="92">
        <v>18</v>
      </c>
      <c r="S8" s="92">
        <v>19</v>
      </c>
      <c r="T8" s="92">
        <v>20</v>
      </c>
      <c r="U8" s="92">
        <v>21</v>
      </c>
      <c r="V8" s="92">
        <v>22</v>
      </c>
      <c r="W8" s="92">
        <v>23</v>
      </c>
      <c r="X8" s="92">
        <v>24</v>
      </c>
      <c r="Y8" s="92">
        <v>45</v>
      </c>
      <c r="Z8" s="92">
        <v>46</v>
      </c>
      <c r="AA8" s="92">
        <v>47</v>
      </c>
      <c r="AB8" s="92">
        <v>48</v>
      </c>
      <c r="AC8" s="92">
        <v>49</v>
      </c>
      <c r="AD8" s="92">
        <v>50</v>
      </c>
      <c r="AE8" s="92">
        <v>49</v>
      </c>
      <c r="AF8" s="92">
        <v>50</v>
      </c>
      <c r="AG8" s="92">
        <v>58</v>
      </c>
      <c r="AH8" s="92">
        <v>59</v>
      </c>
      <c r="AI8" s="92">
        <v>60</v>
      </c>
      <c r="AJ8" s="92">
        <v>61</v>
      </c>
      <c r="AK8" s="92">
        <v>62</v>
      </c>
    </row>
    <row r="9" spans="1:1025" ht="45.75">
      <c r="A9" s="62">
        <v>1</v>
      </c>
      <c r="B9" s="135" t="s">
        <v>417</v>
      </c>
      <c r="C9" s="212" t="s">
        <v>155</v>
      </c>
      <c r="D9" s="212" t="s">
        <v>162</v>
      </c>
      <c r="E9" s="219" t="s">
        <v>174</v>
      </c>
      <c r="F9" s="212" t="s">
        <v>298</v>
      </c>
      <c r="G9" s="212">
        <v>13.04</v>
      </c>
      <c r="H9" s="380">
        <v>4.9000000000000004</v>
      </c>
      <c r="I9" s="443">
        <f t="shared" ref="I9:I11" si="0">ROUND((((J9+K9))/24)+(L9+M9+N9)/18,2)</f>
        <v>1.44</v>
      </c>
      <c r="J9" s="232"/>
      <c r="K9" s="365"/>
      <c r="L9" s="306"/>
      <c r="M9" s="306">
        <v>26</v>
      </c>
      <c r="N9" s="233"/>
      <c r="O9" s="40">
        <f t="shared" ref="O9:O13" si="1">SUM(J9:N9)</f>
        <v>26</v>
      </c>
      <c r="P9" s="43">
        <f t="shared" ref="P9" si="2">SUM(($H$4*H9)/24)*J9</f>
        <v>0</v>
      </c>
      <c r="Q9" s="42">
        <f t="shared" ref="Q9" si="3">SUM(($H$4*H9)/24)*K9</f>
        <v>0</v>
      </c>
      <c r="R9" s="42">
        <f t="shared" ref="R9" si="4">($H$4*H9)/18*L9</f>
        <v>0</v>
      </c>
      <c r="S9" s="42">
        <f t="shared" ref="S9:S11" si="5">($H$4*H9)*M9/18</f>
        <v>125255.43333333335</v>
      </c>
      <c r="T9" s="40">
        <f t="shared" ref="T9:T11" si="6">($H$4*H9)/18*N9</f>
        <v>0</v>
      </c>
      <c r="U9" s="42">
        <f t="shared" ref="U9" si="7">SUM(P9:T9)</f>
        <v>125255.43333333335</v>
      </c>
      <c r="V9" s="41"/>
      <c r="W9" s="42">
        <f t="shared" ref="W9:W11" si="8">(U9*V9)/100</f>
        <v>0</v>
      </c>
      <c r="X9" s="42">
        <f t="shared" ref="X9:X11" si="9">SUM(U9,W9)</f>
        <v>125255.43333333335</v>
      </c>
      <c r="Y9" s="41"/>
      <c r="Z9" s="40">
        <f t="shared" ref="Z9:Z11" si="10">SUM($H$4*$H9*Y9/18)*0.5</f>
        <v>0</v>
      </c>
      <c r="AA9" s="41"/>
      <c r="AB9" s="43">
        <f t="shared" ref="AB9:AB11" si="11">SUM($H$4*$H9*AA9/18)*0.4</f>
        <v>0</v>
      </c>
      <c r="AC9" s="37"/>
      <c r="AD9" s="43">
        <f t="shared" ref="AD9:AD11" si="12">SUM($H$4*$H9*AC9/18)*0.35</f>
        <v>0</v>
      </c>
      <c r="AE9" s="37">
        <v>26</v>
      </c>
      <c r="AF9" s="372">
        <f t="shared" ref="AF9" si="13">SUM($H$4*$H9*AE9/18)*0.3</f>
        <v>37576.630000000005</v>
      </c>
      <c r="AG9" s="8">
        <f t="shared" ref="AG9" si="14">SUM(Z9+AB9+AD9+AF9)</f>
        <v>37576.630000000005</v>
      </c>
      <c r="AH9" s="378">
        <f t="shared" ref="AH9:AH11" si="15">AG9</f>
        <v>37576.630000000005</v>
      </c>
      <c r="AI9" s="42">
        <f t="shared" ref="AI9" si="16">AH9*12</f>
        <v>450919.56000000006</v>
      </c>
      <c r="AJ9" s="80"/>
      <c r="AK9" s="318">
        <f>SUM(($H$4*H9)+(($H$4*H9*V9)/100))*AJ9</f>
        <v>0</v>
      </c>
    </row>
    <row r="10" spans="1:1025" customFormat="1" ht="18.75" customHeight="1">
      <c r="A10" s="612"/>
      <c r="B10" s="613" t="s">
        <v>100</v>
      </c>
      <c r="C10" s="614"/>
      <c r="D10" s="614"/>
      <c r="E10" s="615"/>
      <c r="F10" s="616"/>
      <c r="G10" s="617"/>
      <c r="H10" s="613"/>
      <c r="I10" s="613">
        <f>SUM(I9)</f>
        <v>1.44</v>
      </c>
      <c r="J10" s="613">
        <f t="shared" ref="J10:AK10" si="17">SUM(J9)</f>
        <v>0</v>
      </c>
      <c r="K10" s="613">
        <f t="shared" si="17"/>
        <v>0</v>
      </c>
      <c r="L10" s="613">
        <f t="shared" si="17"/>
        <v>0</v>
      </c>
      <c r="M10" s="613">
        <f t="shared" si="17"/>
        <v>26</v>
      </c>
      <c r="N10" s="613">
        <f t="shared" si="17"/>
        <v>0</v>
      </c>
      <c r="O10" s="613">
        <f t="shared" si="17"/>
        <v>26</v>
      </c>
      <c r="P10" s="613">
        <f t="shared" si="17"/>
        <v>0</v>
      </c>
      <c r="Q10" s="613">
        <f t="shared" si="17"/>
        <v>0</v>
      </c>
      <c r="R10" s="613">
        <f t="shared" si="17"/>
        <v>0</v>
      </c>
      <c r="S10" s="613">
        <f t="shared" si="17"/>
        <v>125255.43333333335</v>
      </c>
      <c r="T10" s="613">
        <f t="shared" si="17"/>
        <v>0</v>
      </c>
      <c r="U10" s="613">
        <f t="shared" si="17"/>
        <v>125255.43333333335</v>
      </c>
      <c r="V10" s="613">
        <f t="shared" si="17"/>
        <v>0</v>
      </c>
      <c r="W10" s="613">
        <f t="shared" si="17"/>
        <v>0</v>
      </c>
      <c r="X10" s="613">
        <f t="shared" si="17"/>
        <v>125255.43333333335</v>
      </c>
      <c r="Y10" s="613">
        <f t="shared" si="17"/>
        <v>0</v>
      </c>
      <c r="Z10" s="613">
        <f t="shared" si="17"/>
        <v>0</v>
      </c>
      <c r="AA10" s="613">
        <f t="shared" si="17"/>
        <v>0</v>
      </c>
      <c r="AB10" s="613">
        <f t="shared" si="17"/>
        <v>0</v>
      </c>
      <c r="AC10" s="613">
        <f t="shared" si="17"/>
        <v>0</v>
      </c>
      <c r="AD10" s="613">
        <f t="shared" si="17"/>
        <v>0</v>
      </c>
      <c r="AE10" s="613">
        <f t="shared" si="17"/>
        <v>26</v>
      </c>
      <c r="AF10" s="613">
        <f t="shared" si="17"/>
        <v>37576.630000000005</v>
      </c>
      <c r="AG10" s="613">
        <f t="shared" si="17"/>
        <v>37576.630000000005</v>
      </c>
      <c r="AH10" s="613">
        <f t="shared" si="17"/>
        <v>37576.630000000005</v>
      </c>
      <c r="AI10" s="613">
        <f t="shared" si="17"/>
        <v>450919.56000000006</v>
      </c>
      <c r="AJ10" s="613">
        <f t="shared" si="17"/>
        <v>0</v>
      </c>
      <c r="AK10" s="613">
        <f t="shared" si="17"/>
        <v>0</v>
      </c>
      <c r="AL10" s="598"/>
      <c r="AM10" s="598"/>
      <c r="AN10" s="598"/>
      <c r="AO10" s="598"/>
      <c r="AP10" s="598"/>
      <c r="AQ10" s="598"/>
      <c r="AR10" s="598"/>
      <c r="AS10" s="598"/>
      <c r="AT10" s="598"/>
      <c r="AU10" s="598"/>
      <c r="AV10" s="598"/>
      <c r="AW10" s="598"/>
      <c r="AX10" s="598"/>
      <c r="AY10" s="598"/>
      <c r="AZ10" s="598"/>
      <c r="BA10" s="598"/>
      <c r="BB10" s="598"/>
      <c r="BC10" s="598"/>
      <c r="BD10" s="598"/>
      <c r="BE10" s="598"/>
      <c r="BF10" s="598"/>
      <c r="BG10" s="598"/>
      <c r="BH10" s="598"/>
      <c r="BI10" s="598"/>
      <c r="BJ10" s="598"/>
      <c r="BK10" s="598"/>
      <c r="BL10" s="598"/>
      <c r="BM10" s="598"/>
      <c r="BN10" s="598"/>
      <c r="BO10" s="598"/>
      <c r="BP10" s="598"/>
      <c r="BQ10" s="598"/>
      <c r="BR10" s="598"/>
      <c r="BS10" s="598"/>
      <c r="BT10" s="598"/>
      <c r="BU10" s="598"/>
      <c r="BV10" s="598"/>
      <c r="BW10" s="598"/>
      <c r="BX10" s="598"/>
      <c r="BY10" s="598"/>
      <c r="BZ10" s="598"/>
      <c r="CA10" s="598"/>
      <c r="CB10" s="598"/>
      <c r="CC10" s="598"/>
      <c r="CD10" s="598"/>
      <c r="CE10" s="598"/>
      <c r="CF10" s="598"/>
      <c r="CG10" s="598"/>
      <c r="CH10" s="598"/>
      <c r="CI10" s="598"/>
      <c r="CJ10" s="598"/>
      <c r="CK10" s="598"/>
      <c r="CL10" s="598"/>
      <c r="CM10" s="598"/>
      <c r="CN10" s="598"/>
      <c r="CO10" s="598"/>
      <c r="CP10" s="598"/>
      <c r="CQ10" s="598"/>
      <c r="CR10" s="598"/>
      <c r="CS10" s="598"/>
      <c r="CT10" s="598"/>
      <c r="CU10" s="598"/>
      <c r="CV10" s="598"/>
      <c r="CW10" s="598"/>
      <c r="CX10" s="598"/>
      <c r="CY10" s="598"/>
      <c r="CZ10" s="598"/>
      <c r="DA10" s="598"/>
      <c r="DB10" s="598"/>
      <c r="DC10" s="598"/>
      <c r="DD10" s="598"/>
      <c r="DE10" s="598"/>
      <c r="DF10" s="598"/>
      <c r="DG10" s="598"/>
      <c r="DH10" s="598"/>
      <c r="DI10" s="598"/>
      <c r="DJ10" s="598"/>
      <c r="DK10" s="598"/>
      <c r="DL10" s="598"/>
      <c r="DM10" s="598"/>
      <c r="DN10" s="598"/>
      <c r="DO10" s="598"/>
      <c r="DP10" s="598"/>
      <c r="DQ10" s="598"/>
      <c r="DR10" s="598"/>
      <c r="DS10" s="598"/>
      <c r="DT10" s="598"/>
      <c r="DU10" s="598"/>
      <c r="DV10" s="598"/>
      <c r="DW10" s="598"/>
      <c r="DX10" s="598"/>
      <c r="DY10" s="598"/>
      <c r="DZ10" s="598"/>
      <c r="EA10" s="598"/>
      <c r="EB10" s="598"/>
      <c r="EC10" s="598"/>
      <c r="ED10" s="598"/>
      <c r="EE10" s="598"/>
      <c r="EF10" s="598"/>
      <c r="EG10" s="598"/>
      <c r="EH10" s="598"/>
      <c r="EI10" s="598"/>
      <c r="EJ10" s="598"/>
      <c r="EK10" s="598"/>
      <c r="EL10" s="598"/>
      <c r="EM10" s="598"/>
      <c r="EN10" s="598"/>
      <c r="EO10" s="598"/>
      <c r="EP10" s="598"/>
      <c r="EQ10" s="598"/>
      <c r="ER10" s="598"/>
      <c r="ES10" s="598"/>
      <c r="ET10" s="598"/>
      <c r="EU10" s="598"/>
      <c r="EV10" s="598"/>
      <c r="EW10" s="598"/>
      <c r="EX10" s="598"/>
      <c r="EY10" s="598"/>
      <c r="EZ10" s="598"/>
      <c r="FA10" s="598"/>
      <c r="FB10" s="598"/>
      <c r="FC10" s="598"/>
      <c r="FD10" s="598"/>
      <c r="FE10" s="598"/>
      <c r="FF10" s="598"/>
      <c r="FG10" s="598"/>
      <c r="FH10" s="598"/>
      <c r="FI10" s="598"/>
      <c r="FJ10" s="598"/>
      <c r="FK10" s="598"/>
      <c r="FL10" s="598"/>
      <c r="FM10" s="598"/>
      <c r="FN10" s="598"/>
      <c r="FO10" s="598"/>
      <c r="FP10" s="598"/>
      <c r="FQ10" s="598"/>
      <c r="FR10" s="598"/>
      <c r="FS10" s="598"/>
      <c r="FT10" s="598"/>
      <c r="FU10" s="598"/>
      <c r="FV10" s="598"/>
      <c r="FW10" s="598"/>
      <c r="FX10" s="598"/>
      <c r="FY10" s="598"/>
      <c r="FZ10" s="598"/>
      <c r="GA10" s="598"/>
      <c r="GB10" s="598"/>
      <c r="GC10" s="598"/>
      <c r="GD10" s="598"/>
      <c r="GE10" s="598"/>
      <c r="GF10" s="598"/>
      <c r="GG10" s="598"/>
      <c r="GH10" s="598"/>
      <c r="GI10" s="598"/>
      <c r="GJ10" s="598"/>
      <c r="GK10" s="598"/>
      <c r="GL10" s="598"/>
      <c r="GM10" s="598"/>
      <c r="GN10" s="598"/>
      <c r="GO10" s="598"/>
      <c r="GP10" s="598"/>
      <c r="GQ10" s="598"/>
      <c r="GR10" s="598"/>
      <c r="GS10" s="598"/>
      <c r="GT10" s="598"/>
      <c r="GU10" s="598"/>
      <c r="GV10" s="598"/>
      <c r="GW10" s="598"/>
      <c r="GX10" s="598"/>
      <c r="GY10" s="598"/>
      <c r="GZ10" s="598"/>
      <c r="HA10" s="598"/>
      <c r="HB10" s="598"/>
      <c r="HC10" s="598"/>
      <c r="HD10" s="598"/>
      <c r="HE10" s="598"/>
      <c r="HF10" s="598"/>
      <c r="HG10" s="598"/>
      <c r="HH10" s="598"/>
      <c r="HI10" s="598"/>
      <c r="HJ10" s="598"/>
      <c r="HK10" s="598"/>
      <c r="HL10" s="598"/>
      <c r="HM10" s="598"/>
      <c r="HN10" s="598"/>
      <c r="HO10" s="598"/>
      <c r="HP10" s="598"/>
      <c r="HQ10" s="598"/>
      <c r="HR10" s="598"/>
      <c r="HS10" s="598"/>
      <c r="HT10" s="598"/>
      <c r="HU10" s="598"/>
      <c r="HV10" s="598"/>
      <c r="HW10" s="598"/>
      <c r="HX10" s="598"/>
      <c r="HY10" s="598"/>
      <c r="HZ10" s="598"/>
      <c r="IA10" s="598"/>
      <c r="IB10" s="598"/>
      <c r="IC10" s="598"/>
      <c r="ID10" s="598"/>
      <c r="IE10" s="598"/>
      <c r="IF10" s="598"/>
      <c r="IG10" s="598"/>
      <c r="IH10" s="598"/>
      <c r="II10" s="598"/>
      <c r="IJ10" s="598"/>
      <c r="IK10" s="598"/>
      <c r="IL10" s="598"/>
      <c r="IM10" s="598"/>
      <c r="IN10" s="598"/>
      <c r="IO10" s="598"/>
      <c r="IP10" s="598"/>
      <c r="IQ10" s="598"/>
      <c r="IR10" s="598"/>
      <c r="IS10" s="598"/>
      <c r="IT10" s="598"/>
      <c r="IU10" s="598"/>
      <c r="IV10" s="598"/>
      <c r="IW10" s="598"/>
      <c r="IX10" s="598"/>
      <c r="IY10" s="598"/>
      <c r="IZ10" s="598"/>
      <c r="JA10" s="598"/>
      <c r="JB10" s="598"/>
      <c r="JC10" s="598"/>
      <c r="JD10" s="598"/>
      <c r="JE10" s="598"/>
      <c r="JF10" s="598"/>
      <c r="JG10" s="598"/>
      <c r="JH10" s="598"/>
      <c r="JI10" s="598"/>
      <c r="JJ10" s="598"/>
      <c r="JK10" s="598"/>
      <c r="JL10" s="598"/>
      <c r="JM10" s="598"/>
      <c r="JN10" s="598"/>
      <c r="JO10" s="598"/>
      <c r="JP10" s="598"/>
      <c r="JQ10" s="598"/>
      <c r="JR10" s="598"/>
      <c r="JS10" s="598"/>
      <c r="JT10" s="598"/>
      <c r="JU10" s="598"/>
      <c r="JV10" s="598"/>
      <c r="JW10" s="598"/>
      <c r="JX10" s="598"/>
      <c r="JY10" s="598"/>
      <c r="JZ10" s="598"/>
      <c r="KA10" s="598"/>
      <c r="KB10" s="598"/>
      <c r="KC10" s="598"/>
      <c r="KD10" s="598"/>
      <c r="KE10" s="598"/>
      <c r="KF10" s="598"/>
      <c r="KG10" s="598"/>
      <c r="KH10" s="598"/>
      <c r="KI10" s="598"/>
      <c r="KJ10" s="598"/>
      <c r="KK10" s="598"/>
      <c r="KL10" s="598"/>
      <c r="KM10" s="598"/>
      <c r="KN10" s="598"/>
      <c r="KO10" s="598"/>
      <c r="KP10" s="598"/>
      <c r="KQ10" s="598"/>
      <c r="KR10" s="598"/>
      <c r="KS10" s="598"/>
      <c r="KT10" s="598"/>
      <c r="KU10" s="598"/>
      <c r="KV10" s="598"/>
      <c r="KW10" s="598"/>
      <c r="KX10" s="598"/>
      <c r="KY10" s="598"/>
      <c r="KZ10" s="598"/>
      <c r="LA10" s="598"/>
      <c r="LB10" s="598"/>
      <c r="LC10" s="598"/>
      <c r="LD10" s="598"/>
      <c r="LE10" s="598"/>
      <c r="LF10" s="598"/>
      <c r="LG10" s="598"/>
      <c r="LH10" s="598"/>
      <c r="LI10" s="598"/>
      <c r="LJ10" s="598"/>
      <c r="LK10" s="598"/>
      <c r="LL10" s="598"/>
      <c r="LM10" s="598"/>
      <c r="LN10" s="598"/>
      <c r="LO10" s="598"/>
      <c r="LP10" s="598"/>
      <c r="LQ10" s="598"/>
      <c r="LR10" s="598"/>
      <c r="LS10" s="598"/>
      <c r="LT10" s="598"/>
      <c r="LU10" s="598"/>
      <c r="LV10" s="598"/>
      <c r="LW10" s="598"/>
      <c r="LX10" s="598"/>
      <c r="LY10" s="598"/>
      <c r="LZ10" s="598"/>
      <c r="MA10" s="598"/>
      <c r="MB10" s="598"/>
      <c r="MC10" s="598"/>
      <c r="MD10" s="598"/>
      <c r="ME10" s="598"/>
      <c r="MF10" s="598"/>
      <c r="MG10" s="598"/>
      <c r="MH10" s="598"/>
      <c r="MI10" s="598"/>
      <c r="MJ10" s="598"/>
      <c r="MK10" s="598"/>
      <c r="ML10" s="598"/>
      <c r="MM10" s="598"/>
      <c r="MN10" s="598"/>
      <c r="MO10" s="598"/>
      <c r="MP10" s="598"/>
      <c r="MQ10" s="598"/>
      <c r="MR10" s="598"/>
      <c r="MS10" s="598"/>
      <c r="MT10" s="598"/>
      <c r="MU10" s="598"/>
      <c r="MV10" s="598"/>
      <c r="MW10" s="598"/>
      <c r="MX10" s="598"/>
      <c r="MY10" s="598"/>
      <c r="MZ10" s="598"/>
      <c r="NA10" s="598"/>
      <c r="NB10" s="598"/>
      <c r="NC10" s="598"/>
      <c r="ND10" s="598"/>
      <c r="NE10" s="598"/>
      <c r="NF10" s="598"/>
      <c r="NG10" s="598"/>
      <c r="NH10" s="598"/>
      <c r="NI10" s="598"/>
      <c r="NJ10" s="598"/>
      <c r="NK10" s="598"/>
      <c r="NL10" s="598"/>
      <c r="NM10" s="598"/>
      <c r="NN10" s="598"/>
      <c r="NO10" s="598"/>
      <c r="NP10" s="598"/>
      <c r="NQ10" s="598"/>
      <c r="NR10" s="598"/>
      <c r="NS10" s="598"/>
      <c r="NT10" s="598"/>
      <c r="NU10" s="598"/>
      <c r="NV10" s="598"/>
      <c r="NW10" s="598"/>
      <c r="NX10" s="598"/>
      <c r="NY10" s="598"/>
      <c r="NZ10" s="598"/>
      <c r="OA10" s="598"/>
      <c r="OB10" s="598"/>
      <c r="OC10" s="598"/>
      <c r="OD10" s="598"/>
      <c r="OE10" s="598"/>
      <c r="OF10" s="598"/>
      <c r="OG10" s="598"/>
      <c r="OH10" s="598"/>
      <c r="OI10" s="598"/>
      <c r="OJ10" s="598"/>
      <c r="OK10" s="598"/>
      <c r="OL10" s="598"/>
      <c r="OM10" s="598"/>
      <c r="ON10" s="598"/>
      <c r="OO10" s="598"/>
      <c r="OP10" s="598"/>
      <c r="OQ10" s="598"/>
      <c r="OR10" s="598"/>
      <c r="OS10" s="598"/>
      <c r="OT10" s="598"/>
      <c r="OU10" s="598"/>
      <c r="OV10" s="598"/>
      <c r="OW10" s="598"/>
      <c r="OX10" s="598"/>
      <c r="OY10" s="598"/>
      <c r="OZ10" s="598"/>
      <c r="PA10" s="598"/>
      <c r="PB10" s="598"/>
      <c r="PC10" s="598"/>
      <c r="PD10" s="598"/>
      <c r="PE10" s="598"/>
      <c r="PF10" s="598"/>
      <c r="PG10" s="598"/>
      <c r="PH10" s="598"/>
      <c r="PI10" s="598"/>
      <c r="PJ10" s="598"/>
      <c r="PK10" s="598"/>
      <c r="PL10" s="598"/>
      <c r="PM10" s="598"/>
      <c r="PN10" s="598"/>
      <c r="PO10" s="598"/>
      <c r="PP10" s="598"/>
      <c r="PQ10" s="598"/>
      <c r="PR10" s="598"/>
      <c r="PS10" s="598"/>
      <c r="PT10" s="598"/>
      <c r="PU10" s="598"/>
      <c r="PV10" s="598"/>
      <c r="PW10" s="598"/>
      <c r="PX10" s="598"/>
      <c r="PY10" s="598"/>
      <c r="PZ10" s="598"/>
      <c r="QA10" s="598"/>
      <c r="QB10" s="598"/>
      <c r="QC10" s="598"/>
      <c r="QD10" s="598"/>
      <c r="QE10" s="598"/>
      <c r="QF10" s="598"/>
      <c r="QG10" s="598"/>
      <c r="QH10" s="598"/>
      <c r="QI10" s="598"/>
      <c r="QJ10" s="598"/>
      <c r="QK10" s="598"/>
      <c r="QL10" s="598"/>
      <c r="QM10" s="598"/>
      <c r="QN10" s="598"/>
      <c r="QO10" s="598"/>
      <c r="QP10" s="598"/>
      <c r="QQ10" s="598"/>
      <c r="QR10" s="598"/>
      <c r="QS10" s="598"/>
      <c r="QT10" s="598"/>
      <c r="QU10" s="598"/>
      <c r="QV10" s="598"/>
      <c r="QW10" s="598"/>
      <c r="QX10" s="598"/>
      <c r="QY10" s="598"/>
      <c r="QZ10" s="598"/>
      <c r="RA10" s="598"/>
      <c r="RB10" s="598"/>
      <c r="RC10" s="598"/>
      <c r="RD10" s="598"/>
      <c r="RE10" s="598"/>
      <c r="RF10" s="598"/>
      <c r="RG10" s="598"/>
      <c r="RH10" s="598"/>
      <c r="RI10" s="598"/>
      <c r="RJ10" s="598"/>
      <c r="RK10" s="598"/>
      <c r="RL10" s="598"/>
      <c r="RM10" s="598"/>
      <c r="RN10" s="598"/>
      <c r="RO10" s="598"/>
      <c r="RP10" s="598"/>
      <c r="RQ10" s="598"/>
      <c r="RR10" s="598"/>
      <c r="RS10" s="598"/>
      <c r="RT10" s="598"/>
      <c r="RU10" s="598"/>
      <c r="RV10" s="598"/>
      <c r="RW10" s="598"/>
      <c r="RX10" s="598"/>
      <c r="RY10" s="598"/>
      <c r="RZ10" s="598"/>
      <c r="SA10" s="598"/>
      <c r="SB10" s="598"/>
      <c r="SC10" s="598"/>
      <c r="SD10" s="598"/>
      <c r="SE10" s="598"/>
      <c r="SF10" s="598"/>
      <c r="SG10" s="598"/>
      <c r="SH10" s="598"/>
      <c r="SI10" s="598"/>
      <c r="SJ10" s="598"/>
      <c r="SK10" s="598"/>
      <c r="SL10" s="598"/>
      <c r="SM10" s="598"/>
      <c r="SN10" s="598"/>
      <c r="SO10" s="598"/>
      <c r="SP10" s="598"/>
      <c r="SQ10" s="598"/>
      <c r="SR10" s="598"/>
      <c r="SS10" s="598"/>
      <c r="ST10" s="598"/>
      <c r="SU10" s="598"/>
      <c r="SV10" s="598"/>
      <c r="SW10" s="598"/>
      <c r="SX10" s="598"/>
      <c r="SY10" s="598"/>
      <c r="SZ10" s="598"/>
      <c r="TA10" s="598"/>
      <c r="TB10" s="598"/>
      <c r="TC10" s="598"/>
      <c r="TD10" s="598"/>
      <c r="TE10" s="598"/>
      <c r="TF10" s="598"/>
      <c r="TG10" s="598"/>
      <c r="TH10" s="598"/>
      <c r="TI10" s="598"/>
      <c r="TJ10" s="598"/>
      <c r="TK10" s="598"/>
      <c r="TL10" s="598"/>
      <c r="TM10" s="598"/>
      <c r="TN10" s="598"/>
      <c r="TO10" s="598"/>
      <c r="TP10" s="598"/>
      <c r="TQ10" s="598"/>
      <c r="TR10" s="598"/>
      <c r="TS10" s="598"/>
      <c r="TT10" s="598"/>
      <c r="TU10" s="598"/>
      <c r="TV10" s="598"/>
      <c r="TW10" s="598"/>
      <c r="TX10" s="598"/>
      <c r="TY10" s="598"/>
      <c r="TZ10" s="598"/>
      <c r="UA10" s="598"/>
      <c r="UB10" s="598"/>
      <c r="UC10" s="598"/>
      <c r="UD10" s="598"/>
      <c r="UE10" s="598"/>
      <c r="UF10" s="598"/>
      <c r="UG10" s="598"/>
      <c r="UH10" s="598"/>
      <c r="UI10" s="598"/>
      <c r="UJ10" s="598"/>
      <c r="UK10" s="598"/>
      <c r="UL10" s="598"/>
      <c r="UM10" s="598"/>
      <c r="UN10" s="598"/>
      <c r="UO10" s="598"/>
      <c r="UP10" s="598"/>
      <c r="UQ10" s="598"/>
      <c r="UR10" s="598"/>
      <c r="US10" s="598"/>
      <c r="UT10" s="598"/>
      <c r="UU10" s="598"/>
      <c r="UV10" s="598"/>
      <c r="UW10" s="598"/>
      <c r="UX10" s="598"/>
      <c r="UY10" s="598"/>
      <c r="UZ10" s="598"/>
      <c r="VA10" s="598"/>
      <c r="VB10" s="598"/>
      <c r="VC10" s="598"/>
      <c r="VD10" s="598"/>
      <c r="VE10" s="598"/>
      <c r="VF10" s="598"/>
      <c r="VG10" s="598"/>
      <c r="VH10" s="598"/>
      <c r="VI10" s="598"/>
      <c r="VJ10" s="598"/>
      <c r="VK10" s="598"/>
      <c r="VL10" s="598"/>
      <c r="VM10" s="598"/>
      <c r="VN10" s="598"/>
      <c r="VO10" s="598"/>
      <c r="VP10" s="598"/>
      <c r="VQ10" s="598"/>
      <c r="VR10" s="598"/>
      <c r="VS10" s="598"/>
      <c r="VT10" s="598"/>
      <c r="VU10" s="598"/>
      <c r="VV10" s="598"/>
      <c r="VW10" s="598"/>
      <c r="VX10" s="598"/>
      <c r="VY10" s="598"/>
      <c r="VZ10" s="598"/>
      <c r="WA10" s="598"/>
      <c r="WB10" s="598"/>
      <c r="WC10" s="598"/>
      <c r="WD10" s="598"/>
      <c r="WE10" s="598"/>
      <c r="WF10" s="598"/>
      <c r="WG10" s="598"/>
      <c r="WH10" s="598"/>
      <c r="WI10" s="598"/>
      <c r="WJ10" s="598"/>
      <c r="WK10" s="598"/>
      <c r="WL10" s="598"/>
      <c r="WM10" s="598"/>
      <c r="WN10" s="598"/>
      <c r="WO10" s="598"/>
      <c r="WP10" s="598"/>
      <c r="WQ10" s="598"/>
      <c r="WR10" s="598"/>
      <c r="WS10" s="598"/>
      <c r="WT10" s="598"/>
      <c r="WU10" s="598"/>
      <c r="WV10" s="598"/>
      <c r="WW10" s="598"/>
      <c r="WX10" s="598"/>
      <c r="WY10" s="598"/>
      <c r="WZ10" s="598"/>
      <c r="XA10" s="598"/>
      <c r="XB10" s="598"/>
      <c r="XC10" s="598"/>
      <c r="XD10" s="598"/>
      <c r="XE10" s="598"/>
      <c r="XF10" s="598"/>
      <c r="XG10" s="598"/>
      <c r="XH10" s="598"/>
      <c r="XI10" s="598"/>
      <c r="XJ10" s="598"/>
      <c r="XK10" s="598"/>
      <c r="XL10" s="598"/>
      <c r="XM10" s="598"/>
      <c r="XN10" s="598"/>
      <c r="XO10" s="598"/>
      <c r="XP10" s="598"/>
      <c r="XQ10" s="598"/>
      <c r="XR10" s="598"/>
      <c r="XS10" s="598"/>
      <c r="XT10" s="598"/>
      <c r="XU10" s="598"/>
      <c r="XV10" s="598"/>
      <c r="XW10" s="598"/>
      <c r="XX10" s="598"/>
      <c r="XY10" s="598"/>
      <c r="XZ10" s="598"/>
      <c r="YA10" s="598"/>
      <c r="YB10" s="598"/>
      <c r="YC10" s="598"/>
      <c r="YD10" s="598"/>
      <c r="YE10" s="598"/>
      <c r="YF10" s="598"/>
      <c r="YG10" s="598"/>
      <c r="YH10" s="598"/>
      <c r="YI10" s="598"/>
      <c r="YJ10" s="598"/>
      <c r="YK10" s="598"/>
      <c r="YL10" s="598"/>
      <c r="YM10" s="598"/>
      <c r="YN10" s="598"/>
      <c r="YO10" s="598"/>
      <c r="YP10" s="598"/>
      <c r="YQ10" s="598"/>
      <c r="YR10" s="598"/>
      <c r="YS10" s="598"/>
      <c r="YT10" s="598"/>
      <c r="YU10" s="598"/>
      <c r="YV10" s="598"/>
      <c r="YW10" s="598"/>
      <c r="YX10" s="598"/>
      <c r="YY10" s="598"/>
      <c r="YZ10" s="598"/>
      <c r="ZA10" s="598"/>
      <c r="ZB10" s="598"/>
      <c r="ZC10" s="598"/>
      <c r="ZD10" s="598"/>
      <c r="ZE10" s="598"/>
      <c r="ZF10" s="598"/>
      <c r="ZG10" s="598"/>
      <c r="ZH10" s="598"/>
      <c r="ZI10" s="598"/>
      <c r="ZJ10" s="598"/>
      <c r="ZK10" s="598"/>
      <c r="ZL10" s="598"/>
      <c r="ZM10" s="598"/>
      <c r="ZN10" s="598"/>
      <c r="ZO10" s="598"/>
      <c r="ZP10" s="598"/>
      <c r="ZQ10" s="598"/>
      <c r="ZR10" s="598"/>
      <c r="ZS10" s="598"/>
      <c r="ZT10" s="598"/>
      <c r="ZU10" s="598"/>
      <c r="ZV10" s="598"/>
      <c r="ZW10" s="598"/>
      <c r="ZX10" s="598"/>
      <c r="ZY10" s="598"/>
      <c r="ZZ10" s="598"/>
      <c r="AAA10" s="598"/>
      <c r="AAB10" s="598"/>
      <c r="AAC10" s="598"/>
      <c r="AAD10" s="598"/>
      <c r="AAE10" s="598"/>
      <c r="AAF10" s="598"/>
      <c r="AAG10" s="598"/>
      <c r="AAH10" s="598"/>
      <c r="AAI10" s="598"/>
      <c r="AAJ10" s="598"/>
      <c r="AAK10" s="598"/>
      <c r="AAL10" s="598"/>
      <c r="AAM10" s="598"/>
      <c r="AAN10" s="598"/>
      <c r="AAO10" s="598"/>
      <c r="AAP10" s="598"/>
      <c r="AAQ10" s="598"/>
      <c r="AAR10" s="598"/>
      <c r="AAS10" s="598"/>
      <c r="AAT10" s="598"/>
      <c r="AAU10" s="598"/>
      <c r="AAV10" s="598"/>
      <c r="AAW10" s="598"/>
      <c r="AAX10" s="598"/>
      <c r="AAY10" s="598"/>
      <c r="AAZ10" s="598"/>
      <c r="ABA10" s="598"/>
      <c r="ABB10" s="598"/>
      <c r="ABC10" s="598"/>
      <c r="ABD10" s="598"/>
      <c r="ABE10" s="598"/>
      <c r="ABF10" s="598"/>
      <c r="ABG10" s="598"/>
      <c r="ABH10" s="598"/>
      <c r="ABI10" s="598"/>
      <c r="ABJ10" s="598"/>
      <c r="ABK10" s="598"/>
      <c r="ABL10" s="598"/>
      <c r="ABM10" s="598"/>
      <c r="ABN10" s="598"/>
      <c r="ABO10" s="598"/>
      <c r="ABP10" s="598"/>
      <c r="ABQ10" s="598"/>
      <c r="ABR10" s="598"/>
      <c r="ABS10" s="598"/>
      <c r="ABT10" s="598"/>
      <c r="ABU10" s="598"/>
      <c r="ABV10" s="598"/>
      <c r="ABW10" s="598"/>
      <c r="ABX10" s="598"/>
      <c r="ABY10" s="598"/>
      <c r="ABZ10" s="598"/>
      <c r="ACA10" s="598"/>
      <c r="ACB10" s="598"/>
      <c r="ACC10" s="598"/>
      <c r="ACD10" s="598"/>
      <c r="ACE10" s="598"/>
      <c r="ACF10" s="598"/>
      <c r="ACG10" s="598"/>
      <c r="ACH10" s="598"/>
      <c r="ACI10" s="598"/>
      <c r="ACJ10" s="598"/>
      <c r="ACK10" s="598"/>
      <c r="ACL10" s="598"/>
      <c r="ACM10" s="598"/>
      <c r="ACN10" s="598"/>
      <c r="ACO10" s="598"/>
      <c r="ACP10" s="598"/>
      <c r="ACQ10" s="598"/>
      <c r="ACR10" s="598"/>
      <c r="ACS10" s="598"/>
      <c r="ACT10" s="598"/>
      <c r="ACU10" s="598"/>
      <c r="ACV10" s="598"/>
      <c r="ACW10" s="598"/>
      <c r="ACX10" s="598"/>
      <c r="ACY10" s="598"/>
      <c r="ACZ10" s="598"/>
      <c r="ADA10" s="598"/>
      <c r="ADB10" s="598"/>
      <c r="ADC10" s="598"/>
      <c r="ADD10" s="598"/>
      <c r="ADE10" s="598"/>
      <c r="ADF10" s="598"/>
      <c r="ADG10" s="598"/>
      <c r="ADH10" s="598"/>
      <c r="ADI10" s="598"/>
      <c r="ADJ10" s="598"/>
      <c r="ADK10" s="598"/>
      <c r="ADL10" s="598"/>
      <c r="ADM10" s="598"/>
      <c r="ADN10" s="598"/>
      <c r="ADO10" s="598"/>
      <c r="ADP10" s="598"/>
      <c r="ADQ10" s="598"/>
      <c r="ADR10" s="598"/>
      <c r="ADS10" s="598"/>
      <c r="ADT10" s="598"/>
      <c r="ADU10" s="598"/>
      <c r="ADV10" s="598"/>
      <c r="ADW10" s="598"/>
      <c r="ADX10" s="598"/>
      <c r="ADY10" s="598"/>
      <c r="ADZ10" s="598"/>
      <c r="AEA10" s="598"/>
      <c r="AEB10" s="598"/>
      <c r="AEC10" s="598"/>
      <c r="AED10" s="598"/>
      <c r="AEE10" s="598"/>
      <c r="AEF10" s="598"/>
      <c r="AEG10" s="598"/>
      <c r="AEH10" s="598"/>
      <c r="AEI10" s="598"/>
      <c r="AEJ10" s="598"/>
      <c r="AEK10" s="598"/>
      <c r="AEL10" s="598"/>
      <c r="AEM10" s="598"/>
      <c r="AEN10" s="598"/>
      <c r="AEO10" s="598"/>
      <c r="AEP10" s="598"/>
      <c r="AEQ10" s="598"/>
      <c r="AER10" s="598"/>
      <c r="AES10" s="598"/>
      <c r="AET10" s="598"/>
      <c r="AEU10" s="598"/>
      <c r="AEV10" s="598"/>
      <c r="AEW10" s="598"/>
      <c r="AEX10" s="598"/>
      <c r="AEY10" s="598"/>
      <c r="AEZ10" s="598"/>
      <c r="AFA10" s="598"/>
      <c r="AFB10" s="598"/>
      <c r="AFC10" s="598"/>
      <c r="AFD10" s="598"/>
      <c r="AFE10" s="598"/>
      <c r="AFF10" s="598"/>
      <c r="AFG10" s="598"/>
      <c r="AFH10" s="598"/>
      <c r="AFI10" s="598"/>
      <c r="AFJ10" s="598"/>
      <c r="AFK10" s="598"/>
      <c r="AFL10" s="598"/>
      <c r="AFM10" s="598"/>
      <c r="AFN10" s="598"/>
      <c r="AFO10" s="598"/>
      <c r="AFP10" s="598"/>
      <c r="AFQ10" s="598"/>
      <c r="AFR10" s="598"/>
      <c r="AFS10" s="598"/>
      <c r="AFT10" s="598"/>
      <c r="AFU10" s="598"/>
      <c r="AFV10" s="598"/>
      <c r="AFW10" s="598"/>
      <c r="AFX10" s="598"/>
      <c r="AFY10" s="598"/>
      <c r="AFZ10" s="598"/>
      <c r="AGA10" s="598"/>
      <c r="AGB10" s="598"/>
      <c r="AGC10" s="598"/>
      <c r="AGD10" s="598"/>
      <c r="AGE10" s="598"/>
      <c r="AGF10" s="598"/>
      <c r="AGG10" s="598"/>
      <c r="AGH10" s="598"/>
      <c r="AGI10" s="598"/>
      <c r="AGJ10" s="598"/>
      <c r="AGK10" s="598"/>
      <c r="AGL10" s="598"/>
      <c r="AGM10" s="598"/>
      <c r="AGN10" s="598"/>
      <c r="AGO10" s="598"/>
      <c r="AGP10" s="598"/>
      <c r="AGQ10" s="598"/>
      <c r="AGR10" s="598"/>
      <c r="AGS10" s="598"/>
      <c r="AGT10" s="598"/>
      <c r="AGU10" s="598"/>
      <c r="AGV10" s="598"/>
      <c r="AGW10" s="598"/>
      <c r="AGX10" s="598"/>
      <c r="AGY10" s="598"/>
      <c r="AGZ10" s="598"/>
      <c r="AHA10" s="598"/>
      <c r="AHB10" s="598"/>
      <c r="AHC10" s="598"/>
      <c r="AHD10" s="598"/>
      <c r="AHE10" s="598"/>
      <c r="AHF10" s="598"/>
      <c r="AHG10" s="598"/>
      <c r="AHH10" s="598"/>
      <c r="AHI10" s="598"/>
      <c r="AHJ10" s="598"/>
      <c r="AHK10" s="598"/>
      <c r="AHL10" s="598"/>
      <c r="AHM10" s="598"/>
      <c r="AHN10" s="598"/>
      <c r="AHO10" s="598"/>
      <c r="AHP10" s="598"/>
      <c r="AHQ10" s="598"/>
      <c r="AHR10" s="598"/>
      <c r="AHS10" s="598"/>
      <c r="AHT10" s="598"/>
      <c r="AHU10" s="598"/>
      <c r="AHV10" s="598"/>
      <c r="AHW10" s="598"/>
      <c r="AHX10" s="598"/>
      <c r="AHY10" s="598"/>
      <c r="AHZ10" s="598"/>
      <c r="AIA10" s="598"/>
      <c r="AIB10" s="598"/>
      <c r="AIC10" s="598"/>
      <c r="AID10" s="598"/>
      <c r="AIE10" s="598"/>
      <c r="AIF10" s="598"/>
      <c r="AIG10" s="598"/>
      <c r="AIH10" s="598"/>
      <c r="AII10" s="598"/>
      <c r="AIJ10" s="598"/>
      <c r="AIK10" s="598"/>
      <c r="AIL10" s="598"/>
      <c r="AIM10" s="598"/>
      <c r="AIN10" s="598"/>
      <c r="AIO10" s="598"/>
      <c r="AIP10" s="598"/>
      <c r="AIQ10" s="598"/>
      <c r="AIR10" s="598"/>
      <c r="AIS10" s="598"/>
      <c r="AIT10" s="598"/>
      <c r="AIU10" s="598"/>
      <c r="AIV10" s="598"/>
      <c r="AIW10" s="598"/>
      <c r="AIX10" s="598"/>
      <c r="AIY10" s="598"/>
      <c r="AIZ10" s="598"/>
      <c r="AJA10" s="598"/>
      <c r="AJB10" s="598"/>
      <c r="AJC10" s="598"/>
      <c r="AJD10" s="598"/>
      <c r="AJE10" s="598"/>
      <c r="AJF10" s="598"/>
      <c r="AJG10" s="598"/>
      <c r="AJH10" s="598"/>
      <c r="AJI10" s="598"/>
      <c r="AJJ10" s="598"/>
      <c r="AJK10" s="598"/>
      <c r="AJL10" s="598"/>
      <c r="AJM10" s="598"/>
      <c r="AJN10" s="598"/>
      <c r="AJO10" s="598"/>
      <c r="AJP10" s="598"/>
      <c r="AJQ10" s="598"/>
      <c r="AJR10" s="598"/>
      <c r="AJS10" s="598"/>
      <c r="AJT10" s="598"/>
      <c r="AJU10" s="598"/>
      <c r="AJV10" s="598"/>
      <c r="AJW10" s="598"/>
      <c r="AJX10" s="598"/>
      <c r="AJY10" s="598"/>
      <c r="AJZ10" s="598"/>
      <c r="AKA10" s="598"/>
      <c r="AKB10" s="598"/>
      <c r="AKC10" s="598"/>
      <c r="AKD10" s="598"/>
      <c r="AKE10" s="598"/>
      <c r="AKF10" s="598"/>
      <c r="AKG10" s="598"/>
      <c r="AKH10" s="598"/>
      <c r="AKI10" s="598"/>
      <c r="AKJ10" s="598"/>
      <c r="AKK10" s="598"/>
      <c r="AKL10" s="598"/>
      <c r="AKM10" s="598"/>
      <c r="AKN10" s="598"/>
      <c r="AKO10" s="598"/>
      <c r="AKP10" s="598"/>
      <c r="AKQ10" s="598"/>
      <c r="AKR10" s="598"/>
      <c r="AKS10" s="598"/>
      <c r="AKT10" s="598"/>
      <c r="AKU10" s="598"/>
      <c r="AKV10" s="598"/>
      <c r="AKW10" s="598"/>
      <c r="AKX10" s="598"/>
      <c r="AKY10" s="598"/>
      <c r="AKZ10" s="598"/>
      <c r="ALA10" s="598"/>
      <c r="ALB10" s="598"/>
      <c r="ALC10" s="598"/>
      <c r="ALD10" s="598"/>
      <c r="ALE10" s="598"/>
      <c r="ALF10" s="598"/>
      <c r="ALG10" s="598"/>
      <c r="ALH10" s="598"/>
      <c r="ALI10" s="598"/>
      <c r="ALJ10" s="598"/>
      <c r="ALK10" s="598"/>
      <c r="ALL10" s="598"/>
      <c r="ALM10" s="598"/>
      <c r="ALN10" s="598"/>
      <c r="ALO10" s="598"/>
      <c r="ALP10" s="598"/>
      <c r="ALQ10" s="598"/>
      <c r="ALR10" s="598"/>
      <c r="ALS10" s="598"/>
      <c r="ALT10" s="598"/>
      <c r="ALU10" s="598"/>
      <c r="ALV10" s="598"/>
      <c r="ALW10" s="598"/>
      <c r="ALX10" s="598"/>
      <c r="ALY10" s="598"/>
      <c r="ALZ10" s="598"/>
      <c r="AMA10" s="598"/>
      <c r="AMB10" s="598"/>
      <c r="AMC10" s="598"/>
      <c r="AMD10" s="598"/>
      <c r="AME10" s="598"/>
      <c r="AMF10" s="598"/>
      <c r="AMG10" s="598"/>
      <c r="AMH10" s="598"/>
      <c r="AMI10" s="598"/>
      <c r="AMJ10" s="598"/>
      <c r="AMK10" s="598"/>
    </row>
    <row r="11" spans="1:1025" ht="57.75" customHeight="1">
      <c r="A11" s="62">
        <v>2</v>
      </c>
      <c r="B11" s="134" t="s">
        <v>165</v>
      </c>
      <c r="C11" s="418" t="s">
        <v>284</v>
      </c>
      <c r="D11" s="212" t="s">
        <v>163</v>
      </c>
      <c r="E11" s="130" t="s">
        <v>161</v>
      </c>
      <c r="F11" s="212" t="s">
        <v>298</v>
      </c>
      <c r="G11" s="212">
        <v>13.04</v>
      </c>
      <c r="H11" s="380">
        <v>4.49</v>
      </c>
      <c r="I11" s="443">
        <f t="shared" si="0"/>
        <v>1.5</v>
      </c>
      <c r="J11" s="232"/>
      <c r="K11" s="317"/>
      <c r="L11" s="306"/>
      <c r="M11" s="306">
        <v>27</v>
      </c>
      <c r="N11" s="233"/>
      <c r="O11" s="40">
        <f t="shared" si="1"/>
        <v>27</v>
      </c>
      <c r="P11" s="43">
        <f t="shared" ref="P11" si="18">SUM(($H$4*H11)/24)*J11</f>
        <v>0</v>
      </c>
      <c r="Q11" s="40">
        <f t="shared" ref="Q11" si="19">SUM(($H$4*H11)/24)*K11</f>
        <v>0</v>
      </c>
      <c r="R11" s="42">
        <f t="shared" ref="R11:R18" si="20">($H$4*H11)/18*L11</f>
        <v>0</v>
      </c>
      <c r="S11" s="42">
        <f t="shared" si="5"/>
        <v>119189.295</v>
      </c>
      <c r="T11" s="40">
        <f t="shared" si="6"/>
        <v>0</v>
      </c>
      <c r="U11" s="42">
        <f t="shared" ref="U11:U18" si="21">SUM(P11:T11)</f>
        <v>119189.295</v>
      </c>
      <c r="V11" s="41"/>
      <c r="W11" s="42">
        <f t="shared" si="8"/>
        <v>0</v>
      </c>
      <c r="X11" s="42">
        <f t="shared" si="9"/>
        <v>119189.295</v>
      </c>
      <c r="Y11" s="41"/>
      <c r="Z11" s="40">
        <f t="shared" si="10"/>
        <v>0</v>
      </c>
      <c r="AA11" s="41"/>
      <c r="AB11" s="43">
        <f t="shared" si="11"/>
        <v>0</v>
      </c>
      <c r="AC11" s="37"/>
      <c r="AD11" s="43">
        <f t="shared" si="12"/>
        <v>0</v>
      </c>
      <c r="AE11" s="37">
        <v>27</v>
      </c>
      <c r="AF11" s="372">
        <f t="shared" ref="AF11" si="22">SUM($H$4*$H11*AE11/18)*0.3</f>
        <v>35756.788499999995</v>
      </c>
      <c r="AG11" s="8">
        <f t="shared" ref="AG11" si="23">SUM(Z11+AB11+AD11+AF11)</f>
        <v>35756.788499999995</v>
      </c>
      <c r="AH11" s="378">
        <f t="shared" si="15"/>
        <v>35756.788499999995</v>
      </c>
      <c r="AI11" s="42">
        <f t="shared" ref="AI11" si="24">AH11*12</f>
        <v>429081.46199999994</v>
      </c>
      <c r="AJ11" s="80"/>
      <c r="AK11" s="318">
        <f>SUM(($H$4*H11)+(($H$4*H11*V11)/100))*AJ11</f>
        <v>0</v>
      </c>
    </row>
    <row r="12" spans="1:1025" ht="45.75">
      <c r="A12" s="62">
        <v>3</v>
      </c>
      <c r="B12" s="134" t="s">
        <v>287</v>
      </c>
      <c r="C12" s="212" t="s">
        <v>360</v>
      </c>
      <c r="D12" s="212" t="s">
        <v>162</v>
      </c>
      <c r="E12" s="130" t="s">
        <v>161</v>
      </c>
      <c r="F12" s="212" t="s">
        <v>298</v>
      </c>
      <c r="G12" s="212">
        <v>15.05</v>
      </c>
      <c r="H12" s="381">
        <v>4.49</v>
      </c>
      <c r="I12" s="443"/>
      <c r="J12" s="232"/>
      <c r="K12" s="365"/>
      <c r="L12" s="306">
        <v>23</v>
      </c>
      <c r="M12" s="306"/>
      <c r="N12" s="233"/>
      <c r="O12" s="40">
        <f t="shared" si="1"/>
        <v>23</v>
      </c>
      <c r="P12" s="43">
        <f t="shared" ref="P12" si="25">SUM(($H$4*H12)/24)*J12</f>
        <v>0</v>
      </c>
      <c r="Q12" s="42">
        <f t="shared" ref="Q12" si="26">SUM(($H$4*H12)/24)*K12</f>
        <v>0</v>
      </c>
      <c r="R12" s="42">
        <f>($H$4*H12)/18*L12</f>
        <v>101531.62166666666</v>
      </c>
      <c r="S12" s="42">
        <f t="shared" ref="S12" si="27">($H$4*H12)*M12/18</f>
        <v>0</v>
      </c>
      <c r="T12" s="40"/>
      <c r="U12" s="42">
        <f t="shared" si="21"/>
        <v>101531.62166666666</v>
      </c>
      <c r="V12" s="41"/>
      <c r="W12" s="42">
        <f t="shared" ref="W12" si="28">(U12*V12)/100</f>
        <v>0</v>
      </c>
      <c r="X12" s="42">
        <f t="shared" ref="X12" si="29">SUM(U12,W12)</f>
        <v>101531.62166666666</v>
      </c>
      <c r="Y12" s="41"/>
      <c r="Z12" s="40"/>
      <c r="AA12" s="41"/>
      <c r="AB12" s="43"/>
      <c r="AC12" s="37"/>
      <c r="AD12" s="43"/>
      <c r="AE12" s="37">
        <v>23</v>
      </c>
      <c r="AF12" s="372">
        <f t="shared" ref="AF12" si="30">SUM($H$4*$H12*AE12/18)*0.3</f>
        <v>30459.486499999995</v>
      </c>
      <c r="AG12" s="8">
        <f t="shared" ref="AG12" si="31">SUM(Z12+AB12+AD12+AF12)</f>
        <v>30459.486499999995</v>
      </c>
      <c r="AH12" s="378">
        <f t="shared" ref="AH12" si="32">AG12</f>
        <v>30459.486499999995</v>
      </c>
      <c r="AI12" s="42">
        <f t="shared" ref="AI12" si="33">AH12*12</f>
        <v>365513.83799999993</v>
      </c>
      <c r="AJ12" s="80"/>
      <c r="AK12" s="318"/>
    </row>
    <row r="13" spans="1:1025" ht="45.75">
      <c r="A13" s="62">
        <v>4</v>
      </c>
      <c r="B13" s="290" t="s">
        <v>283</v>
      </c>
      <c r="C13" s="278" t="s">
        <v>175</v>
      </c>
      <c r="D13" s="278" t="s">
        <v>428</v>
      </c>
      <c r="E13" s="289" t="s">
        <v>161</v>
      </c>
      <c r="F13" s="212" t="s">
        <v>298</v>
      </c>
      <c r="G13" s="278">
        <v>3.02</v>
      </c>
      <c r="H13" s="380">
        <v>4.2300000000000004</v>
      </c>
      <c r="I13" s="443"/>
      <c r="J13" s="232"/>
      <c r="K13" s="365"/>
      <c r="L13" s="306"/>
      <c r="M13" s="306">
        <v>21</v>
      </c>
      <c r="N13" s="233"/>
      <c r="O13" s="40">
        <f t="shared" si="1"/>
        <v>21</v>
      </c>
      <c r="P13" s="43">
        <f t="shared" ref="P13:P18" si="34">SUM(($H$4*H13)/24)*J13</f>
        <v>0</v>
      </c>
      <c r="Q13" s="42">
        <f t="shared" ref="Q13:Q18" si="35">SUM(($H$4*H13)/24)*K13</f>
        <v>0</v>
      </c>
      <c r="R13" s="42">
        <f t="shared" si="20"/>
        <v>0</v>
      </c>
      <c r="S13" s="42">
        <f t="shared" ref="S13:S18" si="36">($H$4*H13)*M13/18</f>
        <v>87334.695000000007</v>
      </c>
      <c r="T13" s="40"/>
      <c r="U13" s="42">
        <f t="shared" si="21"/>
        <v>87334.695000000007</v>
      </c>
      <c r="V13" s="41"/>
      <c r="W13" s="42">
        <f t="shared" ref="W13:W18" si="37">(U13*V13)/100</f>
        <v>0</v>
      </c>
      <c r="X13" s="42">
        <f t="shared" ref="X13:X18" si="38">SUM(U13,W13)</f>
        <v>87334.695000000007</v>
      </c>
      <c r="Y13" s="41"/>
      <c r="Z13" s="40"/>
      <c r="AA13" s="41"/>
      <c r="AB13" s="43"/>
      <c r="AC13" s="37"/>
      <c r="AD13" s="43"/>
      <c r="AE13" s="37">
        <v>21</v>
      </c>
      <c r="AF13" s="372">
        <f t="shared" ref="AF13:AF18" si="39">SUM($H$4*$H13*AE13/18)*0.3</f>
        <v>26200.408500000001</v>
      </c>
      <c r="AG13" s="8">
        <f t="shared" ref="AG13:AG16" si="40">SUM(Z13+AB13+AD13+AF13)</f>
        <v>26200.408500000001</v>
      </c>
      <c r="AH13" s="378">
        <f t="shared" ref="AH13:AH18" si="41">AG13</f>
        <v>26200.408500000001</v>
      </c>
      <c r="AI13" s="42">
        <f t="shared" ref="AI13:AI16" si="42">AH13*12</f>
        <v>314404.902</v>
      </c>
      <c r="AJ13" s="80"/>
      <c r="AK13" s="318"/>
    </row>
    <row r="14" spans="1:1025" ht="60.75">
      <c r="A14" s="62">
        <v>5</v>
      </c>
      <c r="B14" s="277" t="s">
        <v>171</v>
      </c>
      <c r="C14" s="278" t="s">
        <v>310</v>
      </c>
      <c r="D14" s="278" t="s">
        <v>163</v>
      </c>
      <c r="E14" s="279" t="s">
        <v>161</v>
      </c>
      <c r="F14" s="278" t="s">
        <v>150</v>
      </c>
      <c r="G14" s="280">
        <v>19.03</v>
      </c>
      <c r="H14" s="381">
        <v>4.59</v>
      </c>
      <c r="I14" s="443"/>
      <c r="J14" s="232"/>
      <c r="K14" s="365"/>
      <c r="L14" s="306">
        <v>12</v>
      </c>
      <c r="M14" s="306"/>
      <c r="N14" s="233"/>
      <c r="O14" s="40">
        <f t="shared" ref="O14:O15" si="43">SUM(J14:N14)</f>
        <v>12</v>
      </c>
      <c r="P14" s="43">
        <f t="shared" ref="P14:P15" si="44">SUM(($H$4*H14)/24)*J14</f>
        <v>0</v>
      </c>
      <c r="Q14" s="42">
        <f t="shared" ref="Q14:Q15" si="45">SUM(($H$4*H14)/24)*K14</f>
        <v>0</v>
      </c>
      <c r="R14" s="42">
        <f t="shared" ref="R14:R15" si="46">($H$4*H14)/18*L14</f>
        <v>54152.819999999992</v>
      </c>
      <c r="S14" s="42">
        <f t="shared" ref="S14:S15" si="47">($H$4*H14)*M14/18</f>
        <v>0</v>
      </c>
      <c r="T14" s="40"/>
      <c r="U14" s="42">
        <f t="shared" ref="U14:U15" si="48">SUM(P14:T14)</f>
        <v>54152.819999999992</v>
      </c>
      <c r="V14" s="41"/>
      <c r="W14" s="42">
        <f t="shared" ref="W14:W15" si="49">(U14*V14)/100</f>
        <v>0</v>
      </c>
      <c r="X14" s="42">
        <f t="shared" ref="X14:X15" si="50">SUM(U14,W14)</f>
        <v>54152.819999999992</v>
      </c>
      <c r="Y14" s="41"/>
      <c r="Z14" s="40"/>
      <c r="AA14" s="41"/>
      <c r="AB14" s="43"/>
      <c r="AC14" s="37"/>
      <c r="AD14" s="43"/>
      <c r="AE14" s="37">
        <v>22</v>
      </c>
      <c r="AF14" s="372">
        <f t="shared" ref="AF14:AF15" si="51">SUM($H$4*$H14*AE14/18)*0.3</f>
        <v>29784.050999999992</v>
      </c>
      <c r="AG14" s="8">
        <f t="shared" ref="AG14:AG15" si="52">SUM(Z14+AB14+AD14+AF14)</f>
        <v>29784.050999999992</v>
      </c>
      <c r="AH14" s="378">
        <f t="shared" ref="AH14:AH15" si="53">AG14</f>
        <v>29784.050999999992</v>
      </c>
      <c r="AI14" s="42">
        <f t="shared" ref="AI14:AI15" si="54">AH14*12</f>
        <v>357408.61199999991</v>
      </c>
      <c r="AJ14" s="80"/>
      <c r="AK14" s="318"/>
    </row>
    <row r="15" spans="1:1025" ht="31.5">
      <c r="A15" s="62">
        <v>6</v>
      </c>
      <c r="B15" s="133" t="s">
        <v>419</v>
      </c>
      <c r="C15" s="212" t="s">
        <v>167</v>
      </c>
      <c r="D15" s="212" t="s">
        <v>166</v>
      </c>
      <c r="E15" s="219" t="s">
        <v>161</v>
      </c>
      <c r="F15" s="212" t="s">
        <v>150</v>
      </c>
      <c r="G15" s="212">
        <v>2.09</v>
      </c>
      <c r="H15" s="381">
        <v>4.1900000000000004</v>
      </c>
      <c r="I15" s="443"/>
      <c r="J15" s="232"/>
      <c r="K15" s="365"/>
      <c r="L15" s="306"/>
      <c r="M15" s="306">
        <v>8</v>
      </c>
      <c r="N15" s="233"/>
      <c r="O15" s="40">
        <f t="shared" si="43"/>
        <v>8</v>
      </c>
      <c r="P15" s="43">
        <f t="shared" si="44"/>
        <v>0</v>
      </c>
      <c r="Q15" s="42">
        <f t="shared" si="45"/>
        <v>0</v>
      </c>
      <c r="R15" s="42">
        <f t="shared" si="46"/>
        <v>0</v>
      </c>
      <c r="S15" s="42">
        <f t="shared" si="47"/>
        <v>32955.746666666673</v>
      </c>
      <c r="T15" s="40"/>
      <c r="U15" s="42">
        <f t="shared" si="48"/>
        <v>32955.746666666673</v>
      </c>
      <c r="V15" s="41"/>
      <c r="W15" s="42">
        <f t="shared" si="49"/>
        <v>0</v>
      </c>
      <c r="X15" s="42">
        <f t="shared" si="50"/>
        <v>32955.746666666673</v>
      </c>
      <c r="Y15" s="41"/>
      <c r="Z15" s="40"/>
      <c r="AA15" s="41"/>
      <c r="AB15" s="43"/>
      <c r="AC15" s="37"/>
      <c r="AD15" s="43"/>
      <c r="AE15" s="37">
        <v>23</v>
      </c>
      <c r="AF15" s="372">
        <f t="shared" si="51"/>
        <v>28424.3315</v>
      </c>
      <c r="AG15" s="8">
        <f t="shared" si="52"/>
        <v>28424.3315</v>
      </c>
      <c r="AH15" s="378">
        <f t="shared" si="53"/>
        <v>28424.3315</v>
      </c>
      <c r="AI15" s="42">
        <f t="shared" si="54"/>
        <v>341091.978</v>
      </c>
      <c r="AJ15" s="80"/>
      <c r="AK15" s="318"/>
    </row>
    <row r="16" spans="1:1025" ht="45.75">
      <c r="A16" s="62">
        <v>7</v>
      </c>
      <c r="B16" s="135" t="s">
        <v>170</v>
      </c>
      <c r="C16" s="212" t="s">
        <v>274</v>
      </c>
      <c r="D16" s="212" t="s">
        <v>163</v>
      </c>
      <c r="E16" s="219" t="s">
        <v>161</v>
      </c>
      <c r="F16" s="212" t="s">
        <v>298</v>
      </c>
      <c r="G16" s="212">
        <v>10.029999999999999</v>
      </c>
      <c r="H16" s="381">
        <v>4.38</v>
      </c>
      <c r="I16" s="443">
        <f t="shared" ref="I16" si="55">ROUND((((J16+K16))/24)+(L16+M16+N16)/18,2)</f>
        <v>1.06</v>
      </c>
      <c r="J16" s="232"/>
      <c r="K16" s="365"/>
      <c r="L16" s="306">
        <v>16</v>
      </c>
      <c r="M16" s="306">
        <v>3</v>
      </c>
      <c r="N16" s="233"/>
      <c r="O16" s="40">
        <f t="shared" ref="O16" si="56">SUM(J16:N16)</f>
        <v>19</v>
      </c>
      <c r="P16" s="43">
        <f t="shared" ref="P16" si="57">SUM(($H$4*H16)/24)*J16</f>
        <v>0</v>
      </c>
      <c r="Q16" s="42">
        <f t="shared" ref="Q16" si="58">SUM(($H$4*H16)/24)*K16</f>
        <v>0</v>
      </c>
      <c r="R16" s="42">
        <f t="shared" si="20"/>
        <v>68900.320000000007</v>
      </c>
      <c r="S16" s="42">
        <f t="shared" si="36"/>
        <v>12918.810000000001</v>
      </c>
      <c r="T16" s="40">
        <f t="shared" ref="T16" si="59">($H$4*H16)/18*N16</f>
        <v>0</v>
      </c>
      <c r="U16" s="42">
        <f t="shared" si="21"/>
        <v>81819.13</v>
      </c>
      <c r="V16" s="41"/>
      <c r="W16" s="42">
        <f t="shared" si="37"/>
        <v>0</v>
      </c>
      <c r="X16" s="42">
        <f t="shared" si="38"/>
        <v>81819.13</v>
      </c>
      <c r="Y16" s="41"/>
      <c r="Z16" s="40">
        <f t="shared" ref="Z16" si="60">SUM($H$4*$H16*Y16/18)*0.5</f>
        <v>0</v>
      </c>
      <c r="AA16" s="41"/>
      <c r="AB16" s="43">
        <f t="shared" ref="AB16" si="61">SUM($H$4*$H16*AA16/18)*0.4</f>
        <v>0</v>
      </c>
      <c r="AC16" s="37"/>
      <c r="AD16" s="43">
        <f t="shared" ref="AD16" si="62">SUM($H$4*$H16*AC16/18)*0.35</f>
        <v>0</v>
      </c>
      <c r="AE16" s="37">
        <v>19</v>
      </c>
      <c r="AF16" s="372">
        <f t="shared" si="39"/>
        <v>24545.739000000001</v>
      </c>
      <c r="AG16" s="8">
        <f t="shared" si="40"/>
        <v>24545.739000000001</v>
      </c>
      <c r="AH16" s="378">
        <f t="shared" si="41"/>
        <v>24545.739000000001</v>
      </c>
      <c r="AI16" s="42">
        <f t="shared" si="42"/>
        <v>294548.86800000002</v>
      </c>
      <c r="AJ16" s="80"/>
      <c r="AK16" s="318">
        <f>SUM(($H$4*H16)+(($H$4*H16*V16)/100))*AJ16</f>
        <v>0</v>
      </c>
    </row>
    <row r="17" spans="1:1025" customFormat="1" ht="18.75" customHeight="1">
      <c r="A17" s="612"/>
      <c r="B17" s="613" t="s">
        <v>448</v>
      </c>
      <c r="C17" s="614"/>
      <c r="D17" s="614"/>
      <c r="E17" s="615"/>
      <c r="F17" s="616"/>
      <c r="G17" s="617"/>
      <c r="H17" s="613"/>
      <c r="I17" s="613">
        <f>SUM(I11:I16)</f>
        <v>2.56</v>
      </c>
      <c r="J17" s="613">
        <f t="shared" ref="J17:AK17" si="63">SUM(J11:J16)</f>
        <v>0</v>
      </c>
      <c r="K17" s="613">
        <f t="shared" si="63"/>
        <v>0</v>
      </c>
      <c r="L17" s="613">
        <f t="shared" si="63"/>
        <v>51</v>
      </c>
      <c r="M17" s="613">
        <f t="shared" si="63"/>
        <v>59</v>
      </c>
      <c r="N17" s="613">
        <f t="shared" si="63"/>
        <v>0</v>
      </c>
      <c r="O17" s="613">
        <f t="shared" si="63"/>
        <v>110</v>
      </c>
      <c r="P17" s="613">
        <f t="shared" si="63"/>
        <v>0</v>
      </c>
      <c r="Q17" s="613">
        <f t="shared" si="63"/>
        <v>0</v>
      </c>
      <c r="R17" s="613">
        <f t="shared" si="63"/>
        <v>224584.76166666666</v>
      </c>
      <c r="S17" s="613">
        <f t="shared" si="63"/>
        <v>252398.54666666666</v>
      </c>
      <c r="T17" s="613">
        <f t="shared" si="63"/>
        <v>0</v>
      </c>
      <c r="U17" s="613">
        <f t="shared" si="63"/>
        <v>476983.30833333335</v>
      </c>
      <c r="V17" s="613">
        <f t="shared" si="63"/>
        <v>0</v>
      </c>
      <c r="W17" s="613">
        <f t="shared" si="63"/>
        <v>0</v>
      </c>
      <c r="X17" s="613">
        <f t="shared" si="63"/>
        <v>476983.30833333335</v>
      </c>
      <c r="Y17" s="613">
        <f t="shared" si="63"/>
        <v>0</v>
      </c>
      <c r="Z17" s="613">
        <f t="shared" si="63"/>
        <v>0</v>
      </c>
      <c r="AA17" s="613">
        <f t="shared" si="63"/>
        <v>0</v>
      </c>
      <c r="AB17" s="613">
        <f t="shared" si="63"/>
        <v>0</v>
      </c>
      <c r="AC17" s="613">
        <f t="shared" si="63"/>
        <v>0</v>
      </c>
      <c r="AD17" s="613">
        <f t="shared" si="63"/>
        <v>0</v>
      </c>
      <c r="AE17" s="613">
        <f t="shared" si="63"/>
        <v>135</v>
      </c>
      <c r="AF17" s="613">
        <f t="shared" si="63"/>
        <v>175170.80499999999</v>
      </c>
      <c r="AG17" s="613">
        <f t="shared" si="63"/>
        <v>175170.80499999999</v>
      </c>
      <c r="AH17" s="613">
        <f t="shared" si="63"/>
        <v>175170.80499999999</v>
      </c>
      <c r="AI17" s="613">
        <f t="shared" si="63"/>
        <v>2102049.66</v>
      </c>
      <c r="AJ17" s="613">
        <f t="shared" si="63"/>
        <v>0</v>
      </c>
      <c r="AK17" s="613">
        <f t="shared" si="63"/>
        <v>0</v>
      </c>
      <c r="AL17" s="598"/>
      <c r="AM17" s="598"/>
      <c r="AN17" s="598"/>
      <c r="AO17" s="598"/>
      <c r="AP17" s="598"/>
      <c r="AQ17" s="598"/>
      <c r="AR17" s="598"/>
      <c r="AS17" s="598"/>
      <c r="AT17" s="598"/>
      <c r="AU17" s="598"/>
      <c r="AV17" s="598"/>
      <c r="AW17" s="598"/>
      <c r="AX17" s="598"/>
      <c r="AY17" s="598"/>
      <c r="AZ17" s="598"/>
      <c r="BA17" s="598"/>
      <c r="BB17" s="598"/>
      <c r="BC17" s="598"/>
      <c r="BD17" s="598"/>
      <c r="BE17" s="598"/>
      <c r="BF17" s="598"/>
      <c r="BG17" s="598"/>
      <c r="BH17" s="598"/>
      <c r="BI17" s="598"/>
      <c r="BJ17" s="598"/>
      <c r="BK17" s="598"/>
      <c r="BL17" s="598"/>
      <c r="BM17" s="598"/>
      <c r="BN17" s="598"/>
      <c r="BO17" s="598"/>
      <c r="BP17" s="598"/>
      <c r="BQ17" s="598"/>
      <c r="BR17" s="598"/>
      <c r="BS17" s="598"/>
      <c r="BT17" s="598"/>
      <c r="BU17" s="598"/>
      <c r="BV17" s="598"/>
      <c r="BW17" s="598"/>
      <c r="BX17" s="598"/>
      <c r="BY17" s="598"/>
      <c r="BZ17" s="598"/>
      <c r="CA17" s="598"/>
      <c r="CB17" s="598"/>
      <c r="CC17" s="598"/>
      <c r="CD17" s="598"/>
      <c r="CE17" s="598"/>
      <c r="CF17" s="598"/>
      <c r="CG17" s="598"/>
      <c r="CH17" s="598"/>
      <c r="CI17" s="598"/>
      <c r="CJ17" s="598"/>
      <c r="CK17" s="598"/>
      <c r="CL17" s="598"/>
      <c r="CM17" s="598"/>
      <c r="CN17" s="598"/>
      <c r="CO17" s="598"/>
      <c r="CP17" s="598"/>
      <c r="CQ17" s="598"/>
      <c r="CR17" s="598"/>
      <c r="CS17" s="598"/>
      <c r="CT17" s="598"/>
      <c r="CU17" s="598"/>
      <c r="CV17" s="598"/>
      <c r="CW17" s="598"/>
      <c r="CX17" s="598"/>
      <c r="CY17" s="598"/>
      <c r="CZ17" s="598"/>
      <c r="DA17" s="598"/>
      <c r="DB17" s="598"/>
      <c r="DC17" s="598"/>
      <c r="DD17" s="598"/>
      <c r="DE17" s="598"/>
      <c r="DF17" s="598"/>
      <c r="DG17" s="598"/>
      <c r="DH17" s="598"/>
      <c r="DI17" s="598"/>
      <c r="DJ17" s="598"/>
      <c r="DK17" s="598"/>
      <c r="DL17" s="598"/>
      <c r="DM17" s="598"/>
      <c r="DN17" s="598"/>
      <c r="DO17" s="598"/>
      <c r="DP17" s="598"/>
      <c r="DQ17" s="598"/>
      <c r="DR17" s="598"/>
      <c r="DS17" s="598"/>
      <c r="DT17" s="598"/>
      <c r="DU17" s="598"/>
      <c r="DV17" s="598"/>
      <c r="DW17" s="598"/>
      <c r="DX17" s="598"/>
      <c r="DY17" s="598"/>
      <c r="DZ17" s="598"/>
      <c r="EA17" s="598"/>
      <c r="EB17" s="598"/>
      <c r="EC17" s="598"/>
      <c r="ED17" s="598"/>
      <c r="EE17" s="598"/>
      <c r="EF17" s="598"/>
      <c r="EG17" s="598"/>
      <c r="EH17" s="598"/>
      <c r="EI17" s="598"/>
      <c r="EJ17" s="598"/>
      <c r="EK17" s="598"/>
      <c r="EL17" s="598"/>
      <c r="EM17" s="598"/>
      <c r="EN17" s="598"/>
      <c r="EO17" s="598"/>
      <c r="EP17" s="598"/>
      <c r="EQ17" s="598"/>
      <c r="ER17" s="598"/>
      <c r="ES17" s="598"/>
      <c r="ET17" s="598"/>
      <c r="EU17" s="598"/>
      <c r="EV17" s="598"/>
      <c r="EW17" s="598"/>
      <c r="EX17" s="598"/>
      <c r="EY17" s="598"/>
      <c r="EZ17" s="598"/>
      <c r="FA17" s="598"/>
      <c r="FB17" s="598"/>
      <c r="FC17" s="598"/>
      <c r="FD17" s="598"/>
      <c r="FE17" s="598"/>
      <c r="FF17" s="598"/>
      <c r="FG17" s="598"/>
      <c r="FH17" s="598"/>
      <c r="FI17" s="598"/>
      <c r="FJ17" s="598"/>
      <c r="FK17" s="598"/>
      <c r="FL17" s="598"/>
      <c r="FM17" s="598"/>
      <c r="FN17" s="598"/>
      <c r="FO17" s="598"/>
      <c r="FP17" s="598"/>
      <c r="FQ17" s="598"/>
      <c r="FR17" s="598"/>
      <c r="FS17" s="598"/>
      <c r="FT17" s="598"/>
      <c r="FU17" s="598"/>
      <c r="FV17" s="598"/>
      <c r="FW17" s="598"/>
      <c r="FX17" s="598"/>
      <c r="FY17" s="598"/>
      <c r="FZ17" s="598"/>
      <c r="GA17" s="598"/>
      <c r="GB17" s="598"/>
      <c r="GC17" s="598"/>
      <c r="GD17" s="598"/>
      <c r="GE17" s="598"/>
      <c r="GF17" s="598"/>
      <c r="GG17" s="598"/>
      <c r="GH17" s="598"/>
      <c r="GI17" s="598"/>
      <c r="GJ17" s="598"/>
      <c r="GK17" s="598"/>
      <c r="GL17" s="598"/>
      <c r="GM17" s="598"/>
      <c r="GN17" s="598"/>
      <c r="GO17" s="598"/>
      <c r="GP17" s="598"/>
      <c r="GQ17" s="598"/>
      <c r="GR17" s="598"/>
      <c r="GS17" s="598"/>
      <c r="GT17" s="598"/>
      <c r="GU17" s="598"/>
      <c r="GV17" s="598"/>
      <c r="GW17" s="598"/>
      <c r="GX17" s="598"/>
      <c r="GY17" s="598"/>
      <c r="GZ17" s="598"/>
      <c r="HA17" s="598"/>
      <c r="HB17" s="598"/>
      <c r="HC17" s="598"/>
      <c r="HD17" s="598"/>
      <c r="HE17" s="598"/>
      <c r="HF17" s="598"/>
      <c r="HG17" s="598"/>
      <c r="HH17" s="598"/>
      <c r="HI17" s="598"/>
      <c r="HJ17" s="598"/>
      <c r="HK17" s="598"/>
      <c r="HL17" s="598"/>
      <c r="HM17" s="598"/>
      <c r="HN17" s="598"/>
      <c r="HO17" s="598"/>
      <c r="HP17" s="598"/>
      <c r="HQ17" s="598"/>
      <c r="HR17" s="598"/>
      <c r="HS17" s="598"/>
      <c r="HT17" s="598"/>
      <c r="HU17" s="598"/>
      <c r="HV17" s="598"/>
      <c r="HW17" s="598"/>
      <c r="HX17" s="598"/>
      <c r="HY17" s="598"/>
      <c r="HZ17" s="598"/>
      <c r="IA17" s="598"/>
      <c r="IB17" s="598"/>
      <c r="IC17" s="598"/>
      <c r="ID17" s="598"/>
      <c r="IE17" s="598"/>
      <c r="IF17" s="598"/>
      <c r="IG17" s="598"/>
      <c r="IH17" s="598"/>
      <c r="II17" s="598"/>
      <c r="IJ17" s="598"/>
      <c r="IK17" s="598"/>
      <c r="IL17" s="598"/>
      <c r="IM17" s="598"/>
      <c r="IN17" s="598"/>
      <c r="IO17" s="598"/>
      <c r="IP17" s="598"/>
      <c r="IQ17" s="598"/>
      <c r="IR17" s="598"/>
      <c r="IS17" s="598"/>
      <c r="IT17" s="598"/>
      <c r="IU17" s="598"/>
      <c r="IV17" s="598"/>
      <c r="IW17" s="598"/>
      <c r="IX17" s="598"/>
      <c r="IY17" s="598"/>
      <c r="IZ17" s="598"/>
      <c r="JA17" s="598"/>
      <c r="JB17" s="598"/>
      <c r="JC17" s="598"/>
      <c r="JD17" s="598"/>
      <c r="JE17" s="598"/>
      <c r="JF17" s="598"/>
      <c r="JG17" s="598"/>
      <c r="JH17" s="598"/>
      <c r="JI17" s="598"/>
      <c r="JJ17" s="598"/>
      <c r="JK17" s="598"/>
      <c r="JL17" s="598"/>
      <c r="JM17" s="598"/>
      <c r="JN17" s="598"/>
      <c r="JO17" s="598"/>
      <c r="JP17" s="598"/>
      <c r="JQ17" s="598"/>
      <c r="JR17" s="598"/>
      <c r="JS17" s="598"/>
      <c r="JT17" s="598"/>
      <c r="JU17" s="598"/>
      <c r="JV17" s="598"/>
      <c r="JW17" s="598"/>
      <c r="JX17" s="598"/>
      <c r="JY17" s="598"/>
      <c r="JZ17" s="598"/>
      <c r="KA17" s="598"/>
      <c r="KB17" s="598"/>
      <c r="KC17" s="598"/>
      <c r="KD17" s="598"/>
      <c r="KE17" s="598"/>
      <c r="KF17" s="598"/>
      <c r="KG17" s="598"/>
      <c r="KH17" s="598"/>
      <c r="KI17" s="598"/>
      <c r="KJ17" s="598"/>
      <c r="KK17" s="598"/>
      <c r="KL17" s="598"/>
      <c r="KM17" s="598"/>
      <c r="KN17" s="598"/>
      <c r="KO17" s="598"/>
      <c r="KP17" s="598"/>
      <c r="KQ17" s="598"/>
      <c r="KR17" s="598"/>
      <c r="KS17" s="598"/>
      <c r="KT17" s="598"/>
      <c r="KU17" s="598"/>
      <c r="KV17" s="598"/>
      <c r="KW17" s="598"/>
      <c r="KX17" s="598"/>
      <c r="KY17" s="598"/>
      <c r="KZ17" s="598"/>
      <c r="LA17" s="598"/>
      <c r="LB17" s="598"/>
      <c r="LC17" s="598"/>
      <c r="LD17" s="598"/>
      <c r="LE17" s="598"/>
      <c r="LF17" s="598"/>
      <c r="LG17" s="598"/>
      <c r="LH17" s="598"/>
      <c r="LI17" s="598"/>
      <c r="LJ17" s="598"/>
      <c r="LK17" s="598"/>
      <c r="LL17" s="598"/>
      <c r="LM17" s="598"/>
      <c r="LN17" s="598"/>
      <c r="LO17" s="598"/>
      <c r="LP17" s="598"/>
      <c r="LQ17" s="598"/>
      <c r="LR17" s="598"/>
      <c r="LS17" s="598"/>
      <c r="LT17" s="598"/>
      <c r="LU17" s="598"/>
      <c r="LV17" s="598"/>
      <c r="LW17" s="598"/>
      <c r="LX17" s="598"/>
      <c r="LY17" s="598"/>
      <c r="LZ17" s="598"/>
      <c r="MA17" s="598"/>
      <c r="MB17" s="598"/>
      <c r="MC17" s="598"/>
      <c r="MD17" s="598"/>
      <c r="ME17" s="598"/>
      <c r="MF17" s="598"/>
      <c r="MG17" s="598"/>
      <c r="MH17" s="598"/>
      <c r="MI17" s="598"/>
      <c r="MJ17" s="598"/>
      <c r="MK17" s="598"/>
      <c r="ML17" s="598"/>
      <c r="MM17" s="598"/>
      <c r="MN17" s="598"/>
      <c r="MO17" s="598"/>
      <c r="MP17" s="598"/>
      <c r="MQ17" s="598"/>
      <c r="MR17" s="598"/>
      <c r="MS17" s="598"/>
      <c r="MT17" s="598"/>
      <c r="MU17" s="598"/>
      <c r="MV17" s="598"/>
      <c r="MW17" s="598"/>
      <c r="MX17" s="598"/>
      <c r="MY17" s="598"/>
      <c r="MZ17" s="598"/>
      <c r="NA17" s="598"/>
      <c r="NB17" s="598"/>
      <c r="NC17" s="598"/>
      <c r="ND17" s="598"/>
      <c r="NE17" s="598"/>
      <c r="NF17" s="598"/>
      <c r="NG17" s="598"/>
      <c r="NH17" s="598"/>
      <c r="NI17" s="598"/>
      <c r="NJ17" s="598"/>
      <c r="NK17" s="598"/>
      <c r="NL17" s="598"/>
      <c r="NM17" s="598"/>
      <c r="NN17" s="598"/>
      <c r="NO17" s="598"/>
      <c r="NP17" s="598"/>
      <c r="NQ17" s="598"/>
      <c r="NR17" s="598"/>
      <c r="NS17" s="598"/>
      <c r="NT17" s="598"/>
      <c r="NU17" s="598"/>
      <c r="NV17" s="598"/>
      <c r="NW17" s="598"/>
      <c r="NX17" s="598"/>
      <c r="NY17" s="598"/>
      <c r="NZ17" s="598"/>
      <c r="OA17" s="598"/>
      <c r="OB17" s="598"/>
      <c r="OC17" s="598"/>
      <c r="OD17" s="598"/>
      <c r="OE17" s="598"/>
      <c r="OF17" s="598"/>
      <c r="OG17" s="598"/>
      <c r="OH17" s="598"/>
      <c r="OI17" s="598"/>
      <c r="OJ17" s="598"/>
      <c r="OK17" s="598"/>
      <c r="OL17" s="598"/>
      <c r="OM17" s="598"/>
      <c r="ON17" s="598"/>
      <c r="OO17" s="598"/>
      <c r="OP17" s="598"/>
      <c r="OQ17" s="598"/>
      <c r="OR17" s="598"/>
      <c r="OS17" s="598"/>
      <c r="OT17" s="598"/>
      <c r="OU17" s="598"/>
      <c r="OV17" s="598"/>
      <c r="OW17" s="598"/>
      <c r="OX17" s="598"/>
      <c r="OY17" s="598"/>
      <c r="OZ17" s="598"/>
      <c r="PA17" s="598"/>
      <c r="PB17" s="598"/>
      <c r="PC17" s="598"/>
      <c r="PD17" s="598"/>
      <c r="PE17" s="598"/>
      <c r="PF17" s="598"/>
      <c r="PG17" s="598"/>
      <c r="PH17" s="598"/>
      <c r="PI17" s="598"/>
      <c r="PJ17" s="598"/>
      <c r="PK17" s="598"/>
      <c r="PL17" s="598"/>
      <c r="PM17" s="598"/>
      <c r="PN17" s="598"/>
      <c r="PO17" s="598"/>
      <c r="PP17" s="598"/>
      <c r="PQ17" s="598"/>
      <c r="PR17" s="598"/>
      <c r="PS17" s="598"/>
      <c r="PT17" s="598"/>
      <c r="PU17" s="598"/>
      <c r="PV17" s="598"/>
      <c r="PW17" s="598"/>
      <c r="PX17" s="598"/>
      <c r="PY17" s="598"/>
      <c r="PZ17" s="598"/>
      <c r="QA17" s="598"/>
      <c r="QB17" s="598"/>
      <c r="QC17" s="598"/>
      <c r="QD17" s="598"/>
      <c r="QE17" s="598"/>
      <c r="QF17" s="598"/>
      <c r="QG17" s="598"/>
      <c r="QH17" s="598"/>
      <c r="QI17" s="598"/>
      <c r="QJ17" s="598"/>
      <c r="QK17" s="598"/>
      <c r="QL17" s="598"/>
      <c r="QM17" s="598"/>
      <c r="QN17" s="598"/>
      <c r="QO17" s="598"/>
      <c r="QP17" s="598"/>
      <c r="QQ17" s="598"/>
      <c r="QR17" s="598"/>
      <c r="QS17" s="598"/>
      <c r="QT17" s="598"/>
      <c r="QU17" s="598"/>
      <c r="QV17" s="598"/>
      <c r="QW17" s="598"/>
      <c r="QX17" s="598"/>
      <c r="QY17" s="598"/>
      <c r="QZ17" s="598"/>
      <c r="RA17" s="598"/>
      <c r="RB17" s="598"/>
      <c r="RC17" s="598"/>
      <c r="RD17" s="598"/>
      <c r="RE17" s="598"/>
      <c r="RF17" s="598"/>
      <c r="RG17" s="598"/>
      <c r="RH17" s="598"/>
      <c r="RI17" s="598"/>
      <c r="RJ17" s="598"/>
      <c r="RK17" s="598"/>
      <c r="RL17" s="598"/>
      <c r="RM17" s="598"/>
      <c r="RN17" s="598"/>
      <c r="RO17" s="598"/>
      <c r="RP17" s="598"/>
      <c r="RQ17" s="598"/>
      <c r="RR17" s="598"/>
      <c r="RS17" s="598"/>
      <c r="RT17" s="598"/>
      <c r="RU17" s="598"/>
      <c r="RV17" s="598"/>
      <c r="RW17" s="598"/>
      <c r="RX17" s="598"/>
      <c r="RY17" s="598"/>
      <c r="RZ17" s="598"/>
      <c r="SA17" s="598"/>
      <c r="SB17" s="598"/>
      <c r="SC17" s="598"/>
      <c r="SD17" s="598"/>
      <c r="SE17" s="598"/>
      <c r="SF17" s="598"/>
      <c r="SG17" s="598"/>
      <c r="SH17" s="598"/>
      <c r="SI17" s="598"/>
      <c r="SJ17" s="598"/>
      <c r="SK17" s="598"/>
      <c r="SL17" s="598"/>
      <c r="SM17" s="598"/>
      <c r="SN17" s="598"/>
      <c r="SO17" s="598"/>
      <c r="SP17" s="598"/>
      <c r="SQ17" s="598"/>
      <c r="SR17" s="598"/>
      <c r="SS17" s="598"/>
      <c r="ST17" s="598"/>
      <c r="SU17" s="598"/>
      <c r="SV17" s="598"/>
      <c r="SW17" s="598"/>
      <c r="SX17" s="598"/>
      <c r="SY17" s="598"/>
      <c r="SZ17" s="598"/>
      <c r="TA17" s="598"/>
      <c r="TB17" s="598"/>
      <c r="TC17" s="598"/>
      <c r="TD17" s="598"/>
      <c r="TE17" s="598"/>
      <c r="TF17" s="598"/>
      <c r="TG17" s="598"/>
      <c r="TH17" s="598"/>
      <c r="TI17" s="598"/>
      <c r="TJ17" s="598"/>
      <c r="TK17" s="598"/>
      <c r="TL17" s="598"/>
      <c r="TM17" s="598"/>
      <c r="TN17" s="598"/>
      <c r="TO17" s="598"/>
      <c r="TP17" s="598"/>
      <c r="TQ17" s="598"/>
      <c r="TR17" s="598"/>
      <c r="TS17" s="598"/>
      <c r="TT17" s="598"/>
      <c r="TU17" s="598"/>
      <c r="TV17" s="598"/>
      <c r="TW17" s="598"/>
      <c r="TX17" s="598"/>
      <c r="TY17" s="598"/>
      <c r="TZ17" s="598"/>
      <c r="UA17" s="598"/>
      <c r="UB17" s="598"/>
      <c r="UC17" s="598"/>
      <c r="UD17" s="598"/>
      <c r="UE17" s="598"/>
      <c r="UF17" s="598"/>
      <c r="UG17" s="598"/>
      <c r="UH17" s="598"/>
      <c r="UI17" s="598"/>
      <c r="UJ17" s="598"/>
      <c r="UK17" s="598"/>
      <c r="UL17" s="598"/>
      <c r="UM17" s="598"/>
      <c r="UN17" s="598"/>
      <c r="UO17" s="598"/>
      <c r="UP17" s="598"/>
      <c r="UQ17" s="598"/>
      <c r="UR17" s="598"/>
      <c r="US17" s="598"/>
      <c r="UT17" s="598"/>
      <c r="UU17" s="598"/>
      <c r="UV17" s="598"/>
      <c r="UW17" s="598"/>
      <c r="UX17" s="598"/>
      <c r="UY17" s="598"/>
      <c r="UZ17" s="598"/>
      <c r="VA17" s="598"/>
      <c r="VB17" s="598"/>
      <c r="VC17" s="598"/>
      <c r="VD17" s="598"/>
      <c r="VE17" s="598"/>
      <c r="VF17" s="598"/>
      <c r="VG17" s="598"/>
      <c r="VH17" s="598"/>
      <c r="VI17" s="598"/>
      <c r="VJ17" s="598"/>
      <c r="VK17" s="598"/>
      <c r="VL17" s="598"/>
      <c r="VM17" s="598"/>
      <c r="VN17" s="598"/>
      <c r="VO17" s="598"/>
      <c r="VP17" s="598"/>
      <c r="VQ17" s="598"/>
      <c r="VR17" s="598"/>
      <c r="VS17" s="598"/>
      <c r="VT17" s="598"/>
      <c r="VU17" s="598"/>
      <c r="VV17" s="598"/>
      <c r="VW17" s="598"/>
      <c r="VX17" s="598"/>
      <c r="VY17" s="598"/>
      <c r="VZ17" s="598"/>
      <c r="WA17" s="598"/>
      <c r="WB17" s="598"/>
      <c r="WC17" s="598"/>
      <c r="WD17" s="598"/>
      <c r="WE17" s="598"/>
      <c r="WF17" s="598"/>
      <c r="WG17" s="598"/>
      <c r="WH17" s="598"/>
      <c r="WI17" s="598"/>
      <c r="WJ17" s="598"/>
      <c r="WK17" s="598"/>
      <c r="WL17" s="598"/>
      <c r="WM17" s="598"/>
      <c r="WN17" s="598"/>
      <c r="WO17" s="598"/>
      <c r="WP17" s="598"/>
      <c r="WQ17" s="598"/>
      <c r="WR17" s="598"/>
      <c r="WS17" s="598"/>
      <c r="WT17" s="598"/>
      <c r="WU17" s="598"/>
      <c r="WV17" s="598"/>
      <c r="WW17" s="598"/>
      <c r="WX17" s="598"/>
      <c r="WY17" s="598"/>
      <c r="WZ17" s="598"/>
      <c r="XA17" s="598"/>
      <c r="XB17" s="598"/>
      <c r="XC17" s="598"/>
      <c r="XD17" s="598"/>
      <c r="XE17" s="598"/>
      <c r="XF17" s="598"/>
      <c r="XG17" s="598"/>
      <c r="XH17" s="598"/>
      <c r="XI17" s="598"/>
      <c r="XJ17" s="598"/>
      <c r="XK17" s="598"/>
      <c r="XL17" s="598"/>
      <c r="XM17" s="598"/>
      <c r="XN17" s="598"/>
      <c r="XO17" s="598"/>
      <c r="XP17" s="598"/>
      <c r="XQ17" s="598"/>
      <c r="XR17" s="598"/>
      <c r="XS17" s="598"/>
      <c r="XT17" s="598"/>
      <c r="XU17" s="598"/>
      <c r="XV17" s="598"/>
      <c r="XW17" s="598"/>
      <c r="XX17" s="598"/>
      <c r="XY17" s="598"/>
      <c r="XZ17" s="598"/>
      <c r="YA17" s="598"/>
      <c r="YB17" s="598"/>
      <c r="YC17" s="598"/>
      <c r="YD17" s="598"/>
      <c r="YE17" s="598"/>
      <c r="YF17" s="598"/>
      <c r="YG17" s="598"/>
      <c r="YH17" s="598"/>
      <c r="YI17" s="598"/>
      <c r="YJ17" s="598"/>
      <c r="YK17" s="598"/>
      <c r="YL17" s="598"/>
      <c r="YM17" s="598"/>
      <c r="YN17" s="598"/>
      <c r="YO17" s="598"/>
      <c r="YP17" s="598"/>
      <c r="YQ17" s="598"/>
      <c r="YR17" s="598"/>
      <c r="YS17" s="598"/>
      <c r="YT17" s="598"/>
      <c r="YU17" s="598"/>
      <c r="YV17" s="598"/>
      <c r="YW17" s="598"/>
      <c r="YX17" s="598"/>
      <c r="YY17" s="598"/>
      <c r="YZ17" s="598"/>
      <c r="ZA17" s="598"/>
      <c r="ZB17" s="598"/>
      <c r="ZC17" s="598"/>
      <c r="ZD17" s="598"/>
      <c r="ZE17" s="598"/>
      <c r="ZF17" s="598"/>
      <c r="ZG17" s="598"/>
      <c r="ZH17" s="598"/>
      <c r="ZI17" s="598"/>
      <c r="ZJ17" s="598"/>
      <c r="ZK17" s="598"/>
      <c r="ZL17" s="598"/>
      <c r="ZM17" s="598"/>
      <c r="ZN17" s="598"/>
      <c r="ZO17" s="598"/>
      <c r="ZP17" s="598"/>
      <c r="ZQ17" s="598"/>
      <c r="ZR17" s="598"/>
      <c r="ZS17" s="598"/>
      <c r="ZT17" s="598"/>
      <c r="ZU17" s="598"/>
      <c r="ZV17" s="598"/>
      <c r="ZW17" s="598"/>
      <c r="ZX17" s="598"/>
      <c r="ZY17" s="598"/>
      <c r="ZZ17" s="598"/>
      <c r="AAA17" s="598"/>
      <c r="AAB17" s="598"/>
      <c r="AAC17" s="598"/>
      <c r="AAD17" s="598"/>
      <c r="AAE17" s="598"/>
      <c r="AAF17" s="598"/>
      <c r="AAG17" s="598"/>
      <c r="AAH17" s="598"/>
      <c r="AAI17" s="598"/>
      <c r="AAJ17" s="598"/>
      <c r="AAK17" s="598"/>
      <c r="AAL17" s="598"/>
      <c r="AAM17" s="598"/>
      <c r="AAN17" s="598"/>
      <c r="AAO17" s="598"/>
      <c r="AAP17" s="598"/>
      <c r="AAQ17" s="598"/>
      <c r="AAR17" s="598"/>
      <c r="AAS17" s="598"/>
      <c r="AAT17" s="598"/>
      <c r="AAU17" s="598"/>
      <c r="AAV17" s="598"/>
      <c r="AAW17" s="598"/>
      <c r="AAX17" s="598"/>
      <c r="AAY17" s="598"/>
      <c r="AAZ17" s="598"/>
      <c r="ABA17" s="598"/>
      <c r="ABB17" s="598"/>
      <c r="ABC17" s="598"/>
      <c r="ABD17" s="598"/>
      <c r="ABE17" s="598"/>
      <c r="ABF17" s="598"/>
      <c r="ABG17" s="598"/>
      <c r="ABH17" s="598"/>
      <c r="ABI17" s="598"/>
      <c r="ABJ17" s="598"/>
      <c r="ABK17" s="598"/>
      <c r="ABL17" s="598"/>
      <c r="ABM17" s="598"/>
      <c r="ABN17" s="598"/>
      <c r="ABO17" s="598"/>
      <c r="ABP17" s="598"/>
      <c r="ABQ17" s="598"/>
      <c r="ABR17" s="598"/>
      <c r="ABS17" s="598"/>
      <c r="ABT17" s="598"/>
      <c r="ABU17" s="598"/>
      <c r="ABV17" s="598"/>
      <c r="ABW17" s="598"/>
      <c r="ABX17" s="598"/>
      <c r="ABY17" s="598"/>
      <c r="ABZ17" s="598"/>
      <c r="ACA17" s="598"/>
      <c r="ACB17" s="598"/>
      <c r="ACC17" s="598"/>
      <c r="ACD17" s="598"/>
      <c r="ACE17" s="598"/>
      <c r="ACF17" s="598"/>
      <c r="ACG17" s="598"/>
      <c r="ACH17" s="598"/>
      <c r="ACI17" s="598"/>
      <c r="ACJ17" s="598"/>
      <c r="ACK17" s="598"/>
      <c r="ACL17" s="598"/>
      <c r="ACM17" s="598"/>
      <c r="ACN17" s="598"/>
      <c r="ACO17" s="598"/>
      <c r="ACP17" s="598"/>
      <c r="ACQ17" s="598"/>
      <c r="ACR17" s="598"/>
      <c r="ACS17" s="598"/>
      <c r="ACT17" s="598"/>
      <c r="ACU17" s="598"/>
      <c r="ACV17" s="598"/>
      <c r="ACW17" s="598"/>
      <c r="ACX17" s="598"/>
      <c r="ACY17" s="598"/>
      <c r="ACZ17" s="598"/>
      <c r="ADA17" s="598"/>
      <c r="ADB17" s="598"/>
      <c r="ADC17" s="598"/>
      <c r="ADD17" s="598"/>
      <c r="ADE17" s="598"/>
      <c r="ADF17" s="598"/>
      <c r="ADG17" s="598"/>
      <c r="ADH17" s="598"/>
      <c r="ADI17" s="598"/>
      <c r="ADJ17" s="598"/>
      <c r="ADK17" s="598"/>
      <c r="ADL17" s="598"/>
      <c r="ADM17" s="598"/>
      <c r="ADN17" s="598"/>
      <c r="ADO17" s="598"/>
      <c r="ADP17" s="598"/>
      <c r="ADQ17" s="598"/>
      <c r="ADR17" s="598"/>
      <c r="ADS17" s="598"/>
      <c r="ADT17" s="598"/>
      <c r="ADU17" s="598"/>
      <c r="ADV17" s="598"/>
      <c r="ADW17" s="598"/>
      <c r="ADX17" s="598"/>
      <c r="ADY17" s="598"/>
      <c r="ADZ17" s="598"/>
      <c r="AEA17" s="598"/>
      <c r="AEB17" s="598"/>
      <c r="AEC17" s="598"/>
      <c r="AED17" s="598"/>
      <c r="AEE17" s="598"/>
      <c r="AEF17" s="598"/>
      <c r="AEG17" s="598"/>
      <c r="AEH17" s="598"/>
      <c r="AEI17" s="598"/>
      <c r="AEJ17" s="598"/>
      <c r="AEK17" s="598"/>
      <c r="AEL17" s="598"/>
      <c r="AEM17" s="598"/>
      <c r="AEN17" s="598"/>
      <c r="AEO17" s="598"/>
      <c r="AEP17" s="598"/>
      <c r="AEQ17" s="598"/>
      <c r="AER17" s="598"/>
      <c r="AES17" s="598"/>
      <c r="AET17" s="598"/>
      <c r="AEU17" s="598"/>
      <c r="AEV17" s="598"/>
      <c r="AEW17" s="598"/>
      <c r="AEX17" s="598"/>
      <c r="AEY17" s="598"/>
      <c r="AEZ17" s="598"/>
      <c r="AFA17" s="598"/>
      <c r="AFB17" s="598"/>
      <c r="AFC17" s="598"/>
      <c r="AFD17" s="598"/>
      <c r="AFE17" s="598"/>
      <c r="AFF17" s="598"/>
      <c r="AFG17" s="598"/>
      <c r="AFH17" s="598"/>
      <c r="AFI17" s="598"/>
      <c r="AFJ17" s="598"/>
      <c r="AFK17" s="598"/>
      <c r="AFL17" s="598"/>
      <c r="AFM17" s="598"/>
      <c r="AFN17" s="598"/>
      <c r="AFO17" s="598"/>
      <c r="AFP17" s="598"/>
      <c r="AFQ17" s="598"/>
      <c r="AFR17" s="598"/>
      <c r="AFS17" s="598"/>
      <c r="AFT17" s="598"/>
      <c r="AFU17" s="598"/>
      <c r="AFV17" s="598"/>
      <c r="AFW17" s="598"/>
      <c r="AFX17" s="598"/>
      <c r="AFY17" s="598"/>
      <c r="AFZ17" s="598"/>
      <c r="AGA17" s="598"/>
      <c r="AGB17" s="598"/>
      <c r="AGC17" s="598"/>
      <c r="AGD17" s="598"/>
      <c r="AGE17" s="598"/>
      <c r="AGF17" s="598"/>
      <c r="AGG17" s="598"/>
      <c r="AGH17" s="598"/>
      <c r="AGI17" s="598"/>
      <c r="AGJ17" s="598"/>
      <c r="AGK17" s="598"/>
      <c r="AGL17" s="598"/>
      <c r="AGM17" s="598"/>
      <c r="AGN17" s="598"/>
      <c r="AGO17" s="598"/>
      <c r="AGP17" s="598"/>
      <c r="AGQ17" s="598"/>
      <c r="AGR17" s="598"/>
      <c r="AGS17" s="598"/>
      <c r="AGT17" s="598"/>
      <c r="AGU17" s="598"/>
      <c r="AGV17" s="598"/>
      <c r="AGW17" s="598"/>
      <c r="AGX17" s="598"/>
      <c r="AGY17" s="598"/>
      <c r="AGZ17" s="598"/>
      <c r="AHA17" s="598"/>
      <c r="AHB17" s="598"/>
      <c r="AHC17" s="598"/>
      <c r="AHD17" s="598"/>
      <c r="AHE17" s="598"/>
      <c r="AHF17" s="598"/>
      <c r="AHG17" s="598"/>
      <c r="AHH17" s="598"/>
      <c r="AHI17" s="598"/>
      <c r="AHJ17" s="598"/>
      <c r="AHK17" s="598"/>
      <c r="AHL17" s="598"/>
      <c r="AHM17" s="598"/>
      <c r="AHN17" s="598"/>
      <c r="AHO17" s="598"/>
      <c r="AHP17" s="598"/>
      <c r="AHQ17" s="598"/>
      <c r="AHR17" s="598"/>
      <c r="AHS17" s="598"/>
      <c r="AHT17" s="598"/>
      <c r="AHU17" s="598"/>
      <c r="AHV17" s="598"/>
      <c r="AHW17" s="598"/>
      <c r="AHX17" s="598"/>
      <c r="AHY17" s="598"/>
      <c r="AHZ17" s="598"/>
      <c r="AIA17" s="598"/>
      <c r="AIB17" s="598"/>
      <c r="AIC17" s="598"/>
      <c r="AID17" s="598"/>
      <c r="AIE17" s="598"/>
      <c r="AIF17" s="598"/>
      <c r="AIG17" s="598"/>
      <c r="AIH17" s="598"/>
      <c r="AII17" s="598"/>
      <c r="AIJ17" s="598"/>
      <c r="AIK17" s="598"/>
      <c r="AIL17" s="598"/>
      <c r="AIM17" s="598"/>
      <c r="AIN17" s="598"/>
      <c r="AIO17" s="598"/>
      <c r="AIP17" s="598"/>
      <c r="AIQ17" s="598"/>
      <c r="AIR17" s="598"/>
      <c r="AIS17" s="598"/>
      <c r="AIT17" s="598"/>
      <c r="AIU17" s="598"/>
      <c r="AIV17" s="598"/>
      <c r="AIW17" s="598"/>
      <c r="AIX17" s="598"/>
      <c r="AIY17" s="598"/>
      <c r="AIZ17" s="598"/>
      <c r="AJA17" s="598"/>
      <c r="AJB17" s="598"/>
      <c r="AJC17" s="598"/>
      <c r="AJD17" s="598"/>
      <c r="AJE17" s="598"/>
      <c r="AJF17" s="598"/>
      <c r="AJG17" s="598"/>
      <c r="AJH17" s="598"/>
      <c r="AJI17" s="598"/>
      <c r="AJJ17" s="598"/>
      <c r="AJK17" s="598"/>
      <c r="AJL17" s="598"/>
      <c r="AJM17" s="598"/>
      <c r="AJN17" s="598"/>
      <c r="AJO17" s="598"/>
      <c r="AJP17" s="598"/>
      <c r="AJQ17" s="598"/>
      <c r="AJR17" s="598"/>
      <c r="AJS17" s="598"/>
      <c r="AJT17" s="598"/>
      <c r="AJU17" s="598"/>
      <c r="AJV17" s="598"/>
      <c r="AJW17" s="598"/>
      <c r="AJX17" s="598"/>
      <c r="AJY17" s="598"/>
      <c r="AJZ17" s="598"/>
      <c r="AKA17" s="598"/>
      <c r="AKB17" s="598"/>
      <c r="AKC17" s="598"/>
      <c r="AKD17" s="598"/>
      <c r="AKE17" s="598"/>
      <c r="AKF17" s="598"/>
      <c r="AKG17" s="598"/>
      <c r="AKH17" s="598"/>
      <c r="AKI17" s="598"/>
      <c r="AKJ17" s="598"/>
      <c r="AKK17" s="598"/>
      <c r="AKL17" s="598"/>
      <c r="AKM17" s="598"/>
      <c r="AKN17" s="598"/>
      <c r="AKO17" s="598"/>
      <c r="AKP17" s="598"/>
      <c r="AKQ17" s="598"/>
      <c r="AKR17" s="598"/>
      <c r="AKS17" s="598"/>
      <c r="AKT17" s="598"/>
      <c r="AKU17" s="598"/>
      <c r="AKV17" s="598"/>
      <c r="AKW17" s="598"/>
      <c r="AKX17" s="598"/>
      <c r="AKY17" s="598"/>
      <c r="AKZ17" s="598"/>
      <c r="ALA17" s="598"/>
      <c r="ALB17" s="598"/>
      <c r="ALC17" s="598"/>
      <c r="ALD17" s="598"/>
      <c r="ALE17" s="598"/>
      <c r="ALF17" s="598"/>
      <c r="ALG17" s="598"/>
      <c r="ALH17" s="598"/>
      <c r="ALI17" s="598"/>
      <c r="ALJ17" s="598"/>
      <c r="ALK17" s="598"/>
      <c r="ALL17" s="598"/>
      <c r="ALM17" s="598"/>
      <c r="ALN17" s="598"/>
      <c r="ALO17" s="598"/>
      <c r="ALP17" s="598"/>
      <c r="ALQ17" s="598"/>
      <c r="ALR17" s="598"/>
      <c r="ALS17" s="598"/>
      <c r="ALT17" s="598"/>
      <c r="ALU17" s="598"/>
      <c r="ALV17" s="598"/>
      <c r="ALW17" s="598"/>
      <c r="ALX17" s="598"/>
      <c r="ALY17" s="598"/>
      <c r="ALZ17" s="598"/>
      <c r="AMA17" s="598"/>
      <c r="AMB17" s="598"/>
      <c r="AMC17" s="598"/>
      <c r="AMD17" s="598"/>
      <c r="AME17" s="598"/>
      <c r="AMF17" s="598"/>
      <c r="AMG17" s="598"/>
      <c r="AMH17" s="598"/>
      <c r="AMI17" s="598"/>
      <c r="AMJ17" s="598"/>
      <c r="AMK17" s="598"/>
    </row>
    <row r="18" spans="1:1025" ht="45">
      <c r="A18" s="417">
        <v>8</v>
      </c>
      <c r="B18" s="592" t="s">
        <v>158</v>
      </c>
      <c r="C18" s="592" t="s">
        <v>360</v>
      </c>
      <c r="D18" s="592" t="s">
        <v>361</v>
      </c>
      <c r="E18" s="592" t="s">
        <v>151</v>
      </c>
      <c r="F18" s="592" t="s">
        <v>359</v>
      </c>
      <c r="G18" s="592">
        <v>21.03</v>
      </c>
      <c r="H18" s="611">
        <v>4.22</v>
      </c>
      <c r="I18" s="443">
        <f t="shared" ref="I18" si="64">ROUND((((J18+K18))/24)+(L18+M18+N18)/18,2)</f>
        <v>1</v>
      </c>
      <c r="J18" s="592"/>
      <c r="K18" s="592"/>
      <c r="L18" s="592">
        <v>18</v>
      </c>
      <c r="M18" s="592"/>
      <c r="N18" s="592"/>
      <c r="O18" s="40">
        <f t="shared" ref="O18" si="65">SUM(J18:N18)</f>
        <v>18</v>
      </c>
      <c r="P18" s="43">
        <f t="shared" si="34"/>
        <v>0</v>
      </c>
      <c r="Q18" s="40">
        <f t="shared" si="35"/>
        <v>0</v>
      </c>
      <c r="R18" s="42">
        <f t="shared" si="20"/>
        <v>74681.34</v>
      </c>
      <c r="S18" s="42">
        <f t="shared" si="36"/>
        <v>0</v>
      </c>
      <c r="T18" s="40">
        <f t="shared" ref="T18" si="66">($H$4*H18)/18*N18</f>
        <v>0</v>
      </c>
      <c r="U18" s="42">
        <f t="shared" si="21"/>
        <v>74681.34</v>
      </c>
      <c r="V18" s="41"/>
      <c r="W18" s="42">
        <f t="shared" si="37"/>
        <v>0</v>
      </c>
      <c r="X18" s="42">
        <f t="shared" si="38"/>
        <v>74681.34</v>
      </c>
      <c r="Y18" s="41"/>
      <c r="Z18" s="40">
        <f t="shared" ref="Z18" si="67">SUM($H$4*$H18*Y18/18)*0.5</f>
        <v>0</v>
      </c>
      <c r="AA18" s="41"/>
      <c r="AB18" s="43">
        <f t="shared" ref="AB18" si="68">SUM($H$4*$H18*AA18/18)*0.4</f>
        <v>0</v>
      </c>
      <c r="AC18" s="37">
        <v>18</v>
      </c>
      <c r="AD18" s="43">
        <f t="shared" ref="AD18" si="69">SUM($H$4*$H18*AC18/18)*0.35</f>
        <v>26138.468999999997</v>
      </c>
      <c r="AE18" s="37"/>
      <c r="AF18" s="372">
        <f t="shared" si="39"/>
        <v>0</v>
      </c>
      <c r="AG18" s="8">
        <f t="shared" ref="AG18" si="70">SUM(Z18+AB18+AD18+AF18)</f>
        <v>26138.468999999997</v>
      </c>
      <c r="AH18" s="378">
        <f t="shared" si="41"/>
        <v>26138.468999999997</v>
      </c>
      <c r="AI18" s="42">
        <f>AH18*12</f>
        <v>313661.62799999997</v>
      </c>
      <c r="AJ18" s="80"/>
      <c r="AK18" s="318">
        <f t="shared" ref="AK18" si="71">SUM(($H$4*H18)+(($H$4*H18*V18)/100))*AJ18</f>
        <v>0</v>
      </c>
    </row>
    <row r="19" spans="1:1025" ht="18.75" customHeight="1">
      <c r="A19" s="85"/>
      <c r="B19" s="86" t="s">
        <v>157</v>
      </c>
      <c r="C19" s="6"/>
      <c r="D19" s="6"/>
      <c r="E19" s="5"/>
      <c r="F19" s="212"/>
      <c r="G19" s="212"/>
      <c r="H19" s="380">
        <v>4.8099999999999996</v>
      </c>
      <c r="I19" s="86">
        <f>SUM(I9:I11)</f>
        <v>4.38</v>
      </c>
      <c r="J19" s="86">
        <f>SUM(J9:J9)</f>
        <v>0</v>
      </c>
      <c r="K19" s="86">
        <f>SUM(K9:K9)</f>
        <v>0</v>
      </c>
      <c r="L19" s="86">
        <f>SUM(L9:L9)</f>
        <v>0</v>
      </c>
      <c r="M19" s="86">
        <f>SUM(M9:M9)</f>
        <v>26</v>
      </c>
      <c r="N19" s="86">
        <f>SUM(N9:N9)</f>
        <v>0</v>
      </c>
      <c r="O19" s="86">
        <f>SUM(O9:O11)</f>
        <v>79</v>
      </c>
      <c r="P19" s="86">
        <f>SUM(P9:P9)</f>
        <v>0</v>
      </c>
      <c r="Q19" s="86">
        <f>SUM(Q9:Q9)</f>
        <v>0</v>
      </c>
      <c r="R19" s="86">
        <f>SUM(R9:R9)</f>
        <v>0</v>
      </c>
      <c r="S19" s="86">
        <f>SUM(S9:S11)</f>
        <v>369700.16166666668</v>
      </c>
      <c r="T19" s="86">
        <f t="shared" ref="T19:AK19" si="72">SUM(T9:T9)</f>
        <v>0</v>
      </c>
      <c r="U19" s="86">
        <f t="shared" si="72"/>
        <v>125255.43333333335</v>
      </c>
      <c r="V19" s="86">
        <f t="shared" si="72"/>
        <v>0</v>
      </c>
      <c r="W19" s="86">
        <f t="shared" si="72"/>
        <v>0</v>
      </c>
      <c r="X19" s="86">
        <f t="shared" si="72"/>
        <v>125255.43333333335</v>
      </c>
      <c r="Y19" s="86">
        <f t="shared" si="72"/>
        <v>0</v>
      </c>
      <c r="Z19" s="86">
        <f t="shared" si="72"/>
        <v>0</v>
      </c>
      <c r="AA19" s="86">
        <f t="shared" si="72"/>
        <v>0</v>
      </c>
      <c r="AB19" s="86">
        <f t="shared" si="72"/>
        <v>0</v>
      </c>
      <c r="AC19" s="86">
        <f t="shared" si="72"/>
        <v>0</v>
      </c>
      <c r="AD19" s="86">
        <f t="shared" si="72"/>
        <v>0</v>
      </c>
      <c r="AE19" s="86">
        <f t="shared" si="72"/>
        <v>26</v>
      </c>
      <c r="AF19" s="86">
        <f t="shared" si="72"/>
        <v>37576.630000000005</v>
      </c>
      <c r="AG19" s="86">
        <f t="shared" si="72"/>
        <v>37576.630000000005</v>
      </c>
      <c r="AH19" s="86">
        <f t="shared" si="72"/>
        <v>37576.630000000005</v>
      </c>
      <c r="AI19" s="86">
        <f t="shared" si="72"/>
        <v>450919.56000000006</v>
      </c>
      <c r="AJ19" s="86">
        <f t="shared" si="72"/>
        <v>0</v>
      </c>
      <c r="AK19" s="86">
        <f t="shared" si="72"/>
        <v>0</v>
      </c>
    </row>
    <row r="20" spans="1:1025" ht="20.100000000000001" customHeight="1">
      <c r="A20" s="63"/>
      <c r="B20" s="73" t="s">
        <v>103</v>
      </c>
      <c r="C20" s="73"/>
      <c r="D20" s="73"/>
      <c r="E20" s="73"/>
      <c r="F20" s="74"/>
      <c r="G20" s="73"/>
      <c r="H20" s="70"/>
      <c r="I20" s="75">
        <f>SUM(I10+I17+I19)</f>
        <v>8.379999999999999</v>
      </c>
      <c r="J20" s="75">
        <f t="shared" ref="J20:AK20" si="73">SUM(J10+J17+J19)</f>
        <v>0</v>
      </c>
      <c r="K20" s="75">
        <f t="shared" si="73"/>
        <v>0</v>
      </c>
      <c r="L20" s="75">
        <f t="shared" si="73"/>
        <v>51</v>
      </c>
      <c r="M20" s="75">
        <f t="shared" si="73"/>
        <v>111</v>
      </c>
      <c r="N20" s="75">
        <f t="shared" si="73"/>
        <v>0</v>
      </c>
      <c r="O20" s="75">
        <f t="shared" si="73"/>
        <v>215</v>
      </c>
      <c r="P20" s="75">
        <f t="shared" si="73"/>
        <v>0</v>
      </c>
      <c r="Q20" s="75">
        <f t="shared" si="73"/>
        <v>0</v>
      </c>
      <c r="R20" s="75">
        <f t="shared" si="73"/>
        <v>224584.76166666666</v>
      </c>
      <c r="S20" s="75">
        <f t="shared" si="73"/>
        <v>747354.1416666666</v>
      </c>
      <c r="T20" s="75">
        <f t="shared" si="73"/>
        <v>0</v>
      </c>
      <c r="U20" s="75">
        <f t="shared" si="73"/>
        <v>727494.17500000005</v>
      </c>
      <c r="V20" s="75">
        <f t="shared" si="73"/>
        <v>0</v>
      </c>
      <c r="W20" s="75">
        <f t="shared" si="73"/>
        <v>0</v>
      </c>
      <c r="X20" s="75">
        <f t="shared" si="73"/>
        <v>727494.17500000005</v>
      </c>
      <c r="Y20" s="75">
        <f t="shared" si="73"/>
        <v>0</v>
      </c>
      <c r="Z20" s="75">
        <f t="shared" si="73"/>
        <v>0</v>
      </c>
      <c r="AA20" s="75">
        <f t="shared" si="73"/>
        <v>0</v>
      </c>
      <c r="AB20" s="75">
        <f t="shared" si="73"/>
        <v>0</v>
      </c>
      <c r="AC20" s="75">
        <f t="shared" si="73"/>
        <v>0</v>
      </c>
      <c r="AD20" s="75">
        <f t="shared" si="73"/>
        <v>0</v>
      </c>
      <c r="AE20" s="75">
        <f t="shared" si="73"/>
        <v>187</v>
      </c>
      <c r="AF20" s="75">
        <f t="shared" si="73"/>
        <v>250324.065</v>
      </c>
      <c r="AG20" s="75">
        <f t="shared" si="73"/>
        <v>250324.065</v>
      </c>
      <c r="AH20" s="75">
        <f t="shared" si="73"/>
        <v>250324.065</v>
      </c>
      <c r="AI20" s="75">
        <f t="shared" si="73"/>
        <v>3003888.7800000003</v>
      </c>
      <c r="AJ20" s="75">
        <f t="shared" si="73"/>
        <v>0</v>
      </c>
      <c r="AK20" s="75">
        <f t="shared" si="73"/>
        <v>0</v>
      </c>
    </row>
    <row r="21" spans="1:1025" ht="15.75">
      <c r="A21" s="11"/>
      <c r="B21" s="13"/>
      <c r="C21" s="13"/>
      <c r="D21" s="13"/>
      <c r="E21" s="13"/>
      <c r="F21" s="76"/>
      <c r="G21" s="13"/>
      <c r="H21" s="13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1:1025" ht="15.75">
      <c r="A22" s="13"/>
      <c r="B22" s="57"/>
      <c r="C22" s="262" t="s">
        <v>217</v>
      </c>
      <c r="D22" s="262"/>
      <c r="E22" s="262"/>
      <c r="F22" s="262"/>
      <c r="G22" s="262"/>
      <c r="H22" s="104" t="s">
        <v>145</v>
      </c>
      <c r="I22" s="77"/>
      <c r="J22" s="58"/>
      <c r="K22" s="262"/>
      <c r="L22" s="262"/>
      <c r="M22" s="262"/>
      <c r="N22" s="262"/>
      <c r="O22" s="262"/>
      <c r="P22" s="262"/>
      <c r="Q22" s="262"/>
      <c r="R22" s="262"/>
      <c r="S22" s="262"/>
      <c r="T22" s="295" t="s">
        <v>349</v>
      </c>
      <c r="U22" s="262"/>
      <c r="V22" s="14"/>
      <c r="W22" s="14"/>
      <c r="X22" s="59"/>
      <c r="Y22" s="298"/>
      <c r="Z22" s="298"/>
      <c r="AA22" s="298" t="s">
        <v>362</v>
      </c>
      <c r="AB22" s="14"/>
      <c r="AC22" s="14"/>
      <c r="AD22" s="14"/>
      <c r="AE22" s="14"/>
      <c r="AF22" s="78"/>
      <c r="AG22" s="14"/>
      <c r="AH22" s="78"/>
      <c r="AI22" s="14"/>
      <c r="AJ22" s="78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</row>
    <row r="23" spans="1:1025" ht="15.75">
      <c r="A23" s="13"/>
      <c r="B23" s="14"/>
      <c r="C23" s="262"/>
      <c r="D23" s="262"/>
      <c r="E23" s="262"/>
      <c r="F23" s="262"/>
      <c r="G23" s="262"/>
      <c r="H23" s="105"/>
      <c r="I23" s="77"/>
      <c r="J23" s="58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 t="s">
        <v>43</v>
      </c>
      <c r="V23" s="14"/>
      <c r="W23" s="14"/>
      <c r="X23" s="59"/>
      <c r="Y23" s="59"/>
      <c r="Z23" s="59"/>
      <c r="AA23" s="59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</row>
    <row r="24" spans="1:1025" ht="15.75">
      <c r="A24" s="14"/>
      <c r="B24" s="14"/>
      <c r="C24" s="58" t="s">
        <v>96</v>
      </c>
      <c r="D24" s="58"/>
      <c r="E24" s="58"/>
      <c r="F24" s="58"/>
      <c r="G24" s="58"/>
      <c r="H24" s="104" t="s">
        <v>147</v>
      </c>
      <c r="I24" s="77"/>
      <c r="J24" s="58"/>
      <c r="K24" s="262"/>
      <c r="L24" s="262"/>
      <c r="M24" s="262"/>
      <c r="N24" s="262"/>
      <c r="O24" s="262"/>
      <c r="P24" s="262"/>
      <c r="Q24" s="262"/>
      <c r="R24" s="262"/>
      <c r="S24" s="262"/>
      <c r="T24" s="438" t="s">
        <v>376</v>
      </c>
      <c r="U24" s="438"/>
      <c r="V24" s="14"/>
      <c r="W24" s="14"/>
      <c r="X24" s="59"/>
      <c r="Y24" s="59"/>
      <c r="Z24" s="59"/>
      <c r="AA24" s="59" t="s">
        <v>374</v>
      </c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</row>
    <row r="25" spans="1:1025" ht="15.75">
      <c r="A25" s="14"/>
      <c r="B25" s="14"/>
      <c r="C25" s="58"/>
      <c r="D25" s="58"/>
      <c r="E25" s="58"/>
      <c r="F25" s="58"/>
      <c r="G25" s="58"/>
      <c r="H25" s="58"/>
      <c r="I25" s="58"/>
      <c r="J25" s="58"/>
      <c r="K25" s="58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14"/>
      <c r="W25" s="14"/>
      <c r="X25" s="59"/>
      <c r="Y25" s="59"/>
      <c r="Z25" s="59"/>
      <c r="AA25" s="59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</row>
    <row r="26" spans="1:1025" ht="15.75">
      <c r="A26" s="14"/>
      <c r="B26" s="14"/>
      <c r="C26" s="58" t="s">
        <v>97</v>
      </c>
      <c r="D26" s="58"/>
      <c r="E26" s="58"/>
      <c r="F26" s="58"/>
      <c r="G26" s="58"/>
      <c r="H26" s="58" t="s">
        <v>363</v>
      </c>
      <c r="I26" s="262"/>
      <c r="J26" s="58"/>
      <c r="K26" s="262"/>
      <c r="L26" s="262"/>
      <c r="M26" s="262"/>
      <c r="N26" s="262"/>
      <c r="O26" s="262"/>
      <c r="P26" s="262"/>
      <c r="Q26" s="262"/>
      <c r="R26" s="262"/>
      <c r="S26" s="262"/>
      <c r="T26" s="746" t="s">
        <v>45</v>
      </c>
      <c r="U26" s="746"/>
      <c r="V26" s="14"/>
      <c r="W26" s="14"/>
      <c r="X26" s="59"/>
      <c r="Y26" s="59"/>
      <c r="Z26" s="59"/>
      <c r="AA26" s="59" t="s">
        <v>46</v>
      </c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</row>
    <row r="27" spans="1:1025">
      <c r="A27" s="1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1025" ht="15.75" customHeight="1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9" t="s">
        <v>295</v>
      </c>
      <c r="U28" s="1"/>
      <c r="V28" s="1"/>
      <c r="W28" s="1"/>
      <c r="X28" s="1"/>
      <c r="Y28" s="59"/>
      <c r="Z28" s="59"/>
      <c r="AA28" s="59" t="s">
        <v>296</v>
      </c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63"/>
      <c r="AQ28" s="263"/>
      <c r="AR28" s="263"/>
      <c r="AS28" s="263"/>
      <c r="AT28" s="263"/>
      <c r="AU28" s="263"/>
      <c r="AV28" s="263"/>
      <c r="AW28" s="263"/>
      <c r="AX28" s="263"/>
      <c r="AY28" s="263"/>
      <c r="AZ28" s="263"/>
      <c r="BA28" s="263"/>
      <c r="BB28" s="263"/>
      <c r="BC28" s="263"/>
      <c r="BD28" s="263"/>
      <c r="BE28" s="263"/>
      <c r="BF28" s="263"/>
    </row>
    <row r="29" spans="1:10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1025">
      <c r="A30" s="1"/>
    </row>
    <row r="31" spans="1:1025">
      <c r="A31" s="1"/>
    </row>
  </sheetData>
  <mergeCells count="30">
    <mergeCell ref="A5:A7"/>
    <mergeCell ref="B5:B7"/>
    <mergeCell ref="C5:C7"/>
    <mergeCell ref="D5:D7"/>
    <mergeCell ref="E5:F5"/>
    <mergeCell ref="E6:E7"/>
    <mergeCell ref="F6:F7"/>
    <mergeCell ref="G6:G7"/>
    <mergeCell ref="T26:U26"/>
    <mergeCell ref="Y6:Z6"/>
    <mergeCell ref="J6:O6"/>
    <mergeCell ref="V6:W6"/>
    <mergeCell ref="X6:X7"/>
    <mergeCell ref="B1:D1"/>
    <mergeCell ref="B2:K2"/>
    <mergeCell ref="B3:F3"/>
    <mergeCell ref="K3:T3"/>
    <mergeCell ref="K4:T4"/>
    <mergeCell ref="AI5:AI7"/>
    <mergeCell ref="AJ5:AK6"/>
    <mergeCell ref="AG6:AG7"/>
    <mergeCell ref="AE6:AF6"/>
    <mergeCell ref="H6:H7"/>
    <mergeCell ref="I6:I7"/>
    <mergeCell ref="AA6:AB6"/>
    <mergeCell ref="AC6:AD6"/>
    <mergeCell ref="AH5:AH7"/>
    <mergeCell ref="V5:AF5"/>
    <mergeCell ref="I5:O5"/>
    <mergeCell ref="P5:U6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  <colBreaks count="1" manualBreakCount="1">
    <brk id="2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5"/>
  <sheetViews>
    <sheetView view="pageBreakPreview" topLeftCell="P1" zoomScale="70" zoomScaleNormal="80" zoomScaleSheetLayoutView="70" workbookViewId="0">
      <selection activeCell="BI16" sqref="BI16"/>
    </sheetView>
  </sheetViews>
  <sheetFormatPr defaultColWidth="9.140625" defaultRowHeight="15"/>
  <cols>
    <col min="1" max="1" width="7.28515625" style="64" customWidth="1"/>
    <col min="2" max="2" width="45" style="64" customWidth="1"/>
    <col min="3" max="3" width="26.140625" style="64" customWidth="1"/>
    <col min="4" max="4" width="15" style="64" customWidth="1"/>
    <col min="5" max="5" width="9.85546875" style="64" customWidth="1"/>
    <col min="6" max="6" width="13.42578125" style="64" customWidth="1"/>
    <col min="7" max="7" width="17" style="64" customWidth="1"/>
    <col min="8" max="8" width="9.140625" style="64"/>
    <col min="9" max="9" width="10.85546875" style="64" customWidth="1"/>
    <col min="10" max="13" width="9.140625" style="64"/>
    <col min="14" max="14" width="11" style="64" bestFit="1" customWidth="1"/>
    <col min="15" max="15" width="9.140625" style="64"/>
    <col min="16" max="16" width="10.85546875" style="64" customWidth="1"/>
    <col min="17" max="17" width="13.28515625" style="64" customWidth="1"/>
    <col min="18" max="20" width="15.28515625" style="64" customWidth="1"/>
    <col min="21" max="21" width="14.7109375" style="64" customWidth="1"/>
    <col min="22" max="22" width="11.28515625" style="64" customWidth="1"/>
    <col min="23" max="23" width="16.42578125" style="64" customWidth="1"/>
    <col min="24" max="24" width="16.28515625" style="64" customWidth="1"/>
    <col min="25" max="25" width="11.5703125" style="64" hidden="1" customWidth="1"/>
    <col min="26" max="26" width="14.5703125" style="64" hidden="1" customWidth="1"/>
    <col min="27" max="27" width="10.42578125" style="64" hidden="1" customWidth="1"/>
    <col min="28" max="28" width="14.85546875" style="64" hidden="1" customWidth="1"/>
    <col min="29" max="29" width="8.7109375" style="64" hidden="1" customWidth="1"/>
    <col min="30" max="30" width="13.140625" style="64" hidden="1" customWidth="1"/>
    <col min="31" max="31" width="10" style="64" hidden="1" customWidth="1"/>
    <col min="32" max="32" width="14.42578125" style="64" hidden="1" customWidth="1"/>
    <col min="33" max="33" width="10.42578125" style="64" hidden="1" customWidth="1"/>
    <col min="34" max="34" width="14.42578125" style="64" hidden="1" customWidth="1"/>
    <col min="35" max="35" width="0.140625" style="64" hidden="1" customWidth="1"/>
    <col min="36" max="36" width="13" style="64" hidden="1" customWidth="1"/>
    <col min="37" max="37" width="10.28515625" style="64" hidden="1" customWidth="1"/>
    <col min="38" max="38" width="15.28515625" style="64" hidden="1" customWidth="1"/>
    <col min="39" max="39" width="7.85546875" style="64" hidden="1" customWidth="1"/>
    <col min="40" max="40" width="15" style="64" hidden="1" customWidth="1"/>
    <col min="41" max="41" width="9.5703125" style="64" hidden="1" customWidth="1"/>
    <col min="42" max="42" width="15" style="64" hidden="1" customWidth="1"/>
    <col min="43" max="43" width="8.140625" style="64" hidden="1" customWidth="1"/>
    <col min="44" max="44" width="13.42578125" style="64" hidden="1" customWidth="1"/>
    <col min="45" max="45" width="8.85546875" style="64" hidden="1" customWidth="1"/>
    <col min="46" max="46" width="14.28515625" style="64" hidden="1" customWidth="1"/>
    <col min="47" max="47" width="7.28515625" style="64" hidden="1" customWidth="1"/>
    <col min="48" max="48" width="13.140625" style="64" hidden="1" customWidth="1"/>
    <col min="49" max="49" width="0.140625" style="64" customWidth="1"/>
    <col min="50" max="50" width="12.85546875" style="64" hidden="1" customWidth="1"/>
    <col min="51" max="51" width="1.140625" style="64" hidden="1" customWidth="1"/>
    <col min="52" max="52" width="16.7109375" style="64" hidden="1" customWidth="1"/>
    <col min="53" max="53" width="0.140625" style="64" hidden="1" customWidth="1"/>
    <col min="54" max="54" width="12.85546875" style="64" hidden="1" customWidth="1"/>
    <col min="55" max="55" width="9.140625" style="64" customWidth="1"/>
    <col min="56" max="57" width="13.140625" style="64" customWidth="1"/>
    <col min="58" max="58" width="19" style="64" customWidth="1"/>
    <col min="59" max="59" width="18.85546875" style="64" customWidth="1"/>
    <col min="60" max="60" width="15.140625" style="64" customWidth="1"/>
    <col min="61" max="61" width="17.28515625" style="64" customWidth="1"/>
    <col min="62" max="62" width="9.140625" style="64"/>
    <col min="63" max="63" width="11.85546875" style="64" customWidth="1"/>
    <col min="64" max="16384" width="9.140625" style="64"/>
  </cols>
  <sheetData>
    <row r="1" spans="1:64" ht="15.75">
      <c r="A1" s="1"/>
      <c r="B1" s="697" t="s">
        <v>0</v>
      </c>
      <c r="C1" s="697"/>
      <c r="D1" s="69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4"/>
      <c r="W1" s="1"/>
      <c r="X1" s="1"/>
      <c r="Y1" s="1"/>
      <c r="Z1" s="1"/>
      <c r="AA1" s="1"/>
      <c r="AB1" s="1"/>
      <c r="AC1" s="1"/>
      <c r="AD1" s="14"/>
      <c r="AE1" s="1"/>
      <c r="AF1" s="1"/>
      <c r="AG1" s="1"/>
      <c r="AH1" s="1"/>
      <c r="AI1" s="1"/>
      <c r="AJ1" s="1"/>
      <c r="AK1" s="1"/>
      <c r="AL1" s="1"/>
      <c r="AM1" s="14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4" ht="27.75" customHeight="1">
      <c r="A2" s="1"/>
      <c r="B2" s="698" t="s">
        <v>375</v>
      </c>
      <c r="C2" s="698"/>
      <c r="D2" s="698"/>
      <c r="E2" s="699"/>
      <c r="F2" s="699"/>
      <c r="G2" s="699"/>
      <c r="H2" s="699"/>
      <c r="I2" s="699"/>
      <c r="J2" s="699"/>
      <c r="K2" s="699"/>
      <c r="L2" s="398"/>
      <c r="M2" s="1"/>
      <c r="N2" s="1"/>
      <c r="O2" s="1"/>
      <c r="P2" s="1"/>
      <c r="Q2" s="1"/>
      <c r="R2" s="1"/>
      <c r="S2" s="1"/>
      <c r="T2" s="1"/>
      <c r="U2" s="1"/>
      <c r="V2" s="14"/>
      <c r="W2" s="1"/>
      <c r="X2" s="1"/>
      <c r="Y2" s="1"/>
      <c r="Z2" s="1"/>
      <c r="AA2" s="1"/>
      <c r="AB2" s="1"/>
      <c r="AC2" s="1"/>
      <c r="AD2" s="14"/>
      <c r="AE2" s="1"/>
      <c r="AF2" s="1"/>
      <c r="AG2" s="1"/>
      <c r="AH2" s="1"/>
      <c r="AI2" s="1"/>
      <c r="AJ2" s="1"/>
      <c r="AK2" s="1"/>
      <c r="AL2" s="1"/>
      <c r="AM2" s="14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4" ht="15.75">
      <c r="A3" s="1"/>
      <c r="B3" s="697" t="s">
        <v>377</v>
      </c>
      <c r="C3" s="697"/>
      <c r="D3" s="697"/>
      <c r="E3" s="700"/>
      <c r="F3" s="700"/>
      <c r="G3" s="1"/>
      <c r="H3" s="1"/>
      <c r="I3" s="1"/>
      <c r="J3" s="1"/>
      <c r="K3" s="701" t="s">
        <v>384</v>
      </c>
      <c r="L3" s="701"/>
      <c r="M3" s="701"/>
      <c r="N3" s="701"/>
      <c r="O3" s="701"/>
      <c r="P3" s="701"/>
      <c r="Q3" s="701"/>
      <c r="R3" s="701"/>
      <c r="S3" s="701"/>
      <c r="T3" s="701"/>
      <c r="U3" s="1"/>
      <c r="V3" s="14"/>
      <c r="W3" s="1"/>
      <c r="X3" s="1"/>
      <c r="Y3" s="1"/>
      <c r="Z3" s="1"/>
      <c r="AA3" s="1"/>
      <c r="AB3" s="1"/>
      <c r="AC3" s="1"/>
      <c r="AD3" s="14"/>
      <c r="AE3" s="1"/>
      <c r="AF3" s="1"/>
      <c r="AG3" s="1"/>
      <c r="AH3" s="1"/>
      <c r="AI3" s="1"/>
      <c r="AJ3" s="1"/>
      <c r="AK3" s="1"/>
      <c r="AL3" s="1"/>
      <c r="AM3" s="14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4" ht="15.75">
      <c r="A4" s="3"/>
      <c r="B4" s="3"/>
      <c r="C4" s="3"/>
      <c r="D4" s="3"/>
      <c r="E4" s="3"/>
      <c r="F4" s="3"/>
      <c r="G4" s="3" t="s">
        <v>1</v>
      </c>
      <c r="H4" s="65">
        <v>17697</v>
      </c>
      <c r="I4" s="3"/>
      <c r="J4" s="3"/>
      <c r="K4" s="702"/>
      <c r="L4" s="702"/>
      <c r="M4" s="702"/>
      <c r="N4" s="702"/>
      <c r="O4" s="702"/>
      <c r="P4" s="702"/>
      <c r="Q4" s="702"/>
      <c r="R4" s="702"/>
      <c r="S4" s="702"/>
      <c r="T4" s="702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</row>
    <row r="5" spans="1:64" ht="15" customHeight="1">
      <c r="A5" s="742" t="s">
        <v>2</v>
      </c>
      <c r="B5" s="695" t="s">
        <v>3</v>
      </c>
      <c r="C5" s="696" t="s">
        <v>4</v>
      </c>
      <c r="D5" s="695" t="s">
        <v>5</v>
      </c>
      <c r="E5" s="695" t="s">
        <v>6</v>
      </c>
      <c r="F5" s="695"/>
      <c r="G5" s="396"/>
      <c r="H5" s="396"/>
      <c r="I5" s="696" t="s">
        <v>7</v>
      </c>
      <c r="J5" s="696"/>
      <c r="K5" s="696"/>
      <c r="L5" s="696"/>
      <c r="M5" s="696"/>
      <c r="N5" s="696"/>
      <c r="O5" s="696"/>
      <c r="P5" s="696" t="s">
        <v>8</v>
      </c>
      <c r="Q5" s="696"/>
      <c r="R5" s="696"/>
      <c r="S5" s="696"/>
      <c r="T5" s="696"/>
      <c r="U5" s="696"/>
      <c r="V5" s="81" t="s">
        <v>66</v>
      </c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3"/>
      <c r="BH5" s="695" t="s">
        <v>9</v>
      </c>
      <c r="BI5" s="695" t="s">
        <v>10</v>
      </c>
      <c r="BJ5" s="708" t="s">
        <v>91</v>
      </c>
      <c r="BK5" s="708"/>
    </row>
    <row r="6" spans="1:64" ht="97.5" customHeight="1">
      <c r="A6" s="743"/>
      <c r="B6" s="695"/>
      <c r="C6" s="696"/>
      <c r="D6" s="695"/>
      <c r="E6" s="695" t="s">
        <v>11</v>
      </c>
      <c r="F6" s="695" t="s">
        <v>12</v>
      </c>
      <c r="G6" s="695" t="s">
        <v>13</v>
      </c>
      <c r="H6" s="695" t="s">
        <v>14</v>
      </c>
      <c r="I6" s="696" t="s">
        <v>15</v>
      </c>
      <c r="J6" s="696" t="s">
        <v>16</v>
      </c>
      <c r="K6" s="696"/>
      <c r="L6" s="696"/>
      <c r="M6" s="696"/>
      <c r="N6" s="696"/>
      <c r="O6" s="696"/>
      <c r="P6" s="696"/>
      <c r="Q6" s="696"/>
      <c r="R6" s="696"/>
      <c r="S6" s="696"/>
      <c r="T6" s="696"/>
      <c r="U6" s="696"/>
      <c r="V6" s="711" t="s">
        <v>67</v>
      </c>
      <c r="W6" s="713"/>
      <c r="X6" s="714" t="s">
        <v>92</v>
      </c>
      <c r="Y6" s="696" t="s">
        <v>17</v>
      </c>
      <c r="Z6" s="696"/>
      <c r="AA6" s="696"/>
      <c r="AB6" s="696"/>
      <c r="AC6" s="696"/>
      <c r="AD6" s="696"/>
      <c r="AE6" s="696"/>
      <c r="AF6" s="696"/>
      <c r="AG6" s="696"/>
      <c r="AH6" s="696"/>
      <c r="AI6" s="696"/>
      <c r="AJ6" s="696"/>
      <c r="AK6" s="696"/>
      <c r="AL6" s="396"/>
      <c r="AM6" s="696" t="s">
        <v>18</v>
      </c>
      <c r="AN6" s="696"/>
      <c r="AO6" s="696"/>
      <c r="AP6" s="696"/>
      <c r="AQ6" s="696" t="s">
        <v>64</v>
      </c>
      <c r="AR6" s="696"/>
      <c r="AS6" s="711" t="s">
        <v>69</v>
      </c>
      <c r="AT6" s="713"/>
      <c r="AU6" s="711" t="s">
        <v>70</v>
      </c>
      <c r="AV6" s="713"/>
      <c r="AW6" s="711" t="s">
        <v>71</v>
      </c>
      <c r="AX6" s="713"/>
      <c r="AY6" s="696" t="s">
        <v>65</v>
      </c>
      <c r="AZ6" s="696"/>
      <c r="BA6" s="696" t="s">
        <v>19</v>
      </c>
      <c r="BB6" s="696"/>
      <c r="BC6" s="696" t="s">
        <v>20</v>
      </c>
      <c r="BD6" s="696"/>
      <c r="BE6" s="711" t="s">
        <v>72</v>
      </c>
      <c r="BF6" s="713"/>
      <c r="BG6" s="696" t="s">
        <v>21</v>
      </c>
      <c r="BH6" s="695"/>
      <c r="BI6" s="695"/>
      <c r="BJ6" s="708"/>
      <c r="BK6" s="708"/>
    </row>
    <row r="7" spans="1:64" ht="150">
      <c r="A7" s="744"/>
      <c r="B7" s="695"/>
      <c r="C7" s="696"/>
      <c r="D7" s="695"/>
      <c r="E7" s="695"/>
      <c r="F7" s="695"/>
      <c r="G7" s="695"/>
      <c r="H7" s="695"/>
      <c r="I7" s="696"/>
      <c r="J7" s="396" t="s">
        <v>22</v>
      </c>
      <c r="K7" s="396" t="s">
        <v>23</v>
      </c>
      <c r="L7" s="400" t="s">
        <v>24</v>
      </c>
      <c r="M7" s="400" t="s">
        <v>25</v>
      </c>
      <c r="N7" s="400" t="s">
        <v>26</v>
      </c>
      <c r="O7" s="396" t="s">
        <v>27</v>
      </c>
      <c r="P7" s="396" t="s">
        <v>22</v>
      </c>
      <c r="Q7" s="396" t="s">
        <v>23</v>
      </c>
      <c r="R7" s="396" t="s">
        <v>24</v>
      </c>
      <c r="S7" s="396" t="s">
        <v>25</v>
      </c>
      <c r="T7" s="396" t="s">
        <v>26</v>
      </c>
      <c r="U7" s="396" t="s">
        <v>28</v>
      </c>
      <c r="V7" s="396" t="s">
        <v>29</v>
      </c>
      <c r="W7" s="66" t="s">
        <v>30</v>
      </c>
      <c r="X7" s="714"/>
      <c r="Y7" s="396" t="s">
        <v>31</v>
      </c>
      <c r="Z7" s="396" t="s">
        <v>32</v>
      </c>
      <c r="AA7" s="396" t="s">
        <v>31</v>
      </c>
      <c r="AB7" s="396" t="s">
        <v>33</v>
      </c>
      <c r="AC7" s="396" t="s">
        <v>31</v>
      </c>
      <c r="AD7" s="396" t="s">
        <v>34</v>
      </c>
      <c r="AE7" s="396" t="s">
        <v>31</v>
      </c>
      <c r="AF7" s="396" t="s">
        <v>24</v>
      </c>
      <c r="AG7" s="396" t="s">
        <v>31</v>
      </c>
      <c r="AH7" s="396" t="s">
        <v>35</v>
      </c>
      <c r="AI7" s="396" t="s">
        <v>31</v>
      </c>
      <c r="AJ7" s="396" t="s">
        <v>26</v>
      </c>
      <c r="AK7" s="67" t="s">
        <v>36</v>
      </c>
      <c r="AL7" s="396" t="s">
        <v>37</v>
      </c>
      <c r="AM7" s="396" t="s">
        <v>38</v>
      </c>
      <c r="AN7" s="396" t="s">
        <v>39</v>
      </c>
      <c r="AO7" s="396" t="s">
        <v>38</v>
      </c>
      <c r="AP7" s="68" t="s">
        <v>40</v>
      </c>
      <c r="AQ7" s="396" t="s">
        <v>38</v>
      </c>
      <c r="AR7" s="396" t="s">
        <v>30</v>
      </c>
      <c r="AS7" s="396" t="s">
        <v>68</v>
      </c>
      <c r="AT7" s="396" t="s">
        <v>30</v>
      </c>
      <c r="AU7" s="396" t="s">
        <v>68</v>
      </c>
      <c r="AV7" s="396" t="s">
        <v>30</v>
      </c>
      <c r="AW7" s="396" t="s">
        <v>68</v>
      </c>
      <c r="AX7" s="396" t="s">
        <v>30</v>
      </c>
      <c r="AY7" s="396" t="s">
        <v>38</v>
      </c>
      <c r="AZ7" s="396" t="s">
        <v>30</v>
      </c>
      <c r="BA7" s="396" t="s">
        <v>41</v>
      </c>
      <c r="BB7" s="396" t="s">
        <v>30</v>
      </c>
      <c r="BC7" s="396" t="s">
        <v>29</v>
      </c>
      <c r="BD7" s="396" t="s">
        <v>30</v>
      </c>
      <c r="BE7" s="399" t="s">
        <v>134</v>
      </c>
      <c r="BF7" s="396" t="s">
        <v>30</v>
      </c>
      <c r="BG7" s="696"/>
      <c r="BH7" s="695"/>
      <c r="BI7" s="695"/>
      <c r="BJ7" s="79" t="s">
        <v>93</v>
      </c>
      <c r="BK7" s="79" t="s">
        <v>30</v>
      </c>
    </row>
    <row r="8" spans="1:64">
      <c r="A8" s="397">
        <v>1</v>
      </c>
      <c r="B8" s="397">
        <v>2</v>
      </c>
      <c r="C8" s="397">
        <v>3</v>
      </c>
      <c r="D8" s="397">
        <v>4</v>
      </c>
      <c r="E8" s="397">
        <v>5</v>
      </c>
      <c r="F8" s="397">
        <v>6</v>
      </c>
      <c r="G8" s="397">
        <v>7</v>
      </c>
      <c r="H8" s="397">
        <v>8</v>
      </c>
      <c r="I8" s="397">
        <v>9</v>
      </c>
      <c r="J8" s="397">
        <v>10</v>
      </c>
      <c r="K8" s="397">
        <v>11</v>
      </c>
      <c r="L8" s="397">
        <v>12</v>
      </c>
      <c r="M8" s="397">
        <v>13</v>
      </c>
      <c r="N8" s="397">
        <v>14</v>
      </c>
      <c r="O8" s="397">
        <v>15</v>
      </c>
      <c r="P8" s="397">
        <v>16</v>
      </c>
      <c r="Q8" s="397">
        <v>17</v>
      </c>
      <c r="R8" s="397">
        <v>18</v>
      </c>
      <c r="S8" s="397">
        <v>19</v>
      </c>
      <c r="T8" s="397">
        <v>20</v>
      </c>
      <c r="U8" s="397">
        <v>21</v>
      </c>
      <c r="V8" s="397">
        <v>22</v>
      </c>
      <c r="W8" s="397">
        <v>23</v>
      </c>
      <c r="X8" s="397">
        <v>24</v>
      </c>
      <c r="Y8" s="397">
        <v>25</v>
      </c>
      <c r="Z8" s="397">
        <v>26</v>
      </c>
      <c r="AA8" s="397">
        <v>27</v>
      </c>
      <c r="AB8" s="397">
        <v>28</v>
      </c>
      <c r="AC8" s="397">
        <v>29</v>
      </c>
      <c r="AD8" s="397">
        <v>30</v>
      </c>
      <c r="AE8" s="397">
        <v>31</v>
      </c>
      <c r="AF8" s="397">
        <v>32</v>
      </c>
      <c r="AG8" s="397">
        <v>33</v>
      </c>
      <c r="AH8" s="397">
        <v>34</v>
      </c>
      <c r="AI8" s="397">
        <v>35</v>
      </c>
      <c r="AJ8" s="397">
        <v>36</v>
      </c>
      <c r="AK8" s="397">
        <v>37</v>
      </c>
      <c r="AL8" s="397">
        <v>38</v>
      </c>
      <c r="AM8" s="397">
        <v>39</v>
      </c>
      <c r="AN8" s="397">
        <v>40</v>
      </c>
      <c r="AO8" s="397">
        <v>41</v>
      </c>
      <c r="AP8" s="397">
        <v>42</v>
      </c>
      <c r="AQ8" s="397">
        <v>43</v>
      </c>
      <c r="AR8" s="397">
        <v>44</v>
      </c>
      <c r="AS8" s="397">
        <v>45</v>
      </c>
      <c r="AT8" s="397">
        <v>46</v>
      </c>
      <c r="AU8" s="397">
        <v>47</v>
      </c>
      <c r="AV8" s="397">
        <v>48</v>
      </c>
      <c r="AW8" s="397">
        <v>49</v>
      </c>
      <c r="AX8" s="397">
        <v>50</v>
      </c>
      <c r="AY8" s="397">
        <v>51</v>
      </c>
      <c r="AZ8" s="397">
        <v>52</v>
      </c>
      <c r="BA8" s="397">
        <v>53</v>
      </c>
      <c r="BB8" s="397">
        <v>54</v>
      </c>
      <c r="BC8" s="397">
        <v>55</v>
      </c>
      <c r="BD8" s="397">
        <v>56</v>
      </c>
      <c r="BE8" s="397"/>
      <c r="BF8" s="397">
        <v>57</v>
      </c>
      <c r="BG8" s="397">
        <v>58</v>
      </c>
      <c r="BH8" s="397">
        <v>59</v>
      </c>
      <c r="BI8" s="397">
        <v>60</v>
      </c>
      <c r="BJ8" s="397">
        <v>61</v>
      </c>
      <c r="BK8" s="397">
        <v>62</v>
      </c>
    </row>
    <row r="9" spans="1:64" ht="18.75" customHeight="1">
      <c r="A9" s="419">
        <v>1</v>
      </c>
      <c r="B9" s="420" t="s">
        <v>188</v>
      </c>
      <c r="C9" s="6" t="s">
        <v>245</v>
      </c>
      <c r="D9" s="421" t="s">
        <v>162</v>
      </c>
      <c r="E9" s="71">
        <v>1</v>
      </c>
      <c r="F9" s="422" t="s">
        <v>181</v>
      </c>
      <c r="G9" s="423">
        <v>28</v>
      </c>
      <c r="H9" s="424">
        <v>5.2</v>
      </c>
      <c r="I9" s="6">
        <f t="shared" ref="I9:I10" si="0">ROUND((((J9+K9))/24)+(L9+M9+N9)/18,2)</f>
        <v>0.11</v>
      </c>
      <c r="J9" s="425"/>
      <c r="K9" s="425"/>
      <c r="L9" s="426">
        <v>1</v>
      </c>
      <c r="M9" s="426">
        <v>1</v>
      </c>
      <c r="N9" s="426"/>
      <c r="O9" s="414">
        <f t="shared" ref="O9" si="1">SUM(J9:N9)</f>
        <v>2</v>
      </c>
      <c r="P9" s="43">
        <f t="shared" ref="P9" si="2">SUM(($H$4*H9)/24)*J9</f>
        <v>0</v>
      </c>
      <c r="Q9" s="42">
        <f t="shared" ref="Q9" si="3">SUM(($H$4*H9)/24)*K9</f>
        <v>0</v>
      </c>
      <c r="R9" s="42">
        <f t="shared" ref="R9" si="4">($H$4*H9)/18*L9</f>
        <v>5112.4666666666672</v>
      </c>
      <c r="S9" s="42">
        <f t="shared" ref="S9" si="5">($H$4*H9)*M9/18</f>
        <v>5112.4666666666672</v>
      </c>
      <c r="T9" s="42">
        <f t="shared" ref="T9" si="6">($H$4*H9)/18*N9</f>
        <v>0</v>
      </c>
      <c r="U9" s="42">
        <f t="shared" ref="U9" si="7">SUM(P9:T9)</f>
        <v>10224.933333333334</v>
      </c>
      <c r="V9" s="41">
        <v>25</v>
      </c>
      <c r="W9" s="42">
        <f t="shared" ref="W9" si="8">(U9*V9)/100</f>
        <v>2556.2333333333336</v>
      </c>
      <c r="X9" s="42">
        <f t="shared" ref="X9" si="9">SUM(U9,W9)</f>
        <v>12781.166666666668</v>
      </c>
      <c r="Y9" s="426"/>
      <c r="Z9" s="42">
        <f t="shared" ref="Z9" si="10">($H$4*0.25)*Y9/18</f>
        <v>0</v>
      </c>
      <c r="AA9" s="7"/>
      <c r="AB9" s="9">
        <f t="shared" ref="AB9" si="11">SUM(($H$4*0.25)/18)*AA9</f>
        <v>0</v>
      </c>
      <c r="AC9" s="9"/>
      <c r="AD9" s="43">
        <f t="shared" ref="AD9" si="12">SUM(($H$4*0.25)/18*AC9)</f>
        <v>0</v>
      </c>
      <c r="AE9" s="426"/>
      <c r="AF9" s="9">
        <f t="shared" ref="AF9" si="13">SUM(($H$4*0.2)/18)*AE9</f>
        <v>0</v>
      </c>
      <c r="AG9" s="426"/>
      <c r="AH9" s="38">
        <f t="shared" ref="AH9" si="14">SUM(($H$4*0.2)/18)*AG9</f>
        <v>0</v>
      </c>
      <c r="AI9" s="426"/>
      <c r="AJ9" s="6">
        <f t="shared" ref="AJ9" si="15">SUM(($H$4*0.2)/18)*AI9</f>
        <v>0</v>
      </c>
      <c r="AK9" s="10">
        <f t="shared" ref="AK9:AL9" si="16">SUM(Y9,AA9,AC9,AE9,AG9,AI9)</f>
        <v>0</v>
      </c>
      <c r="AL9" s="9">
        <f t="shared" si="16"/>
        <v>0</v>
      </c>
      <c r="AM9" s="426"/>
      <c r="AN9" s="43">
        <f t="shared" ref="AN9" si="17">SUM($H$4*0.25)*AM9</f>
        <v>0</v>
      </c>
      <c r="AO9" s="7"/>
      <c r="AP9" s="40">
        <f t="shared" ref="AP9" si="18">SUM($H$4*0.3)*AO9</f>
        <v>0</v>
      </c>
      <c r="AQ9" s="9"/>
      <c r="AR9" s="43">
        <f t="shared" ref="AR9" si="19">SUM($H$4*0.2*AQ9)</f>
        <v>0</v>
      </c>
      <c r="AS9" s="41"/>
      <c r="AT9" s="43">
        <f t="shared" ref="AT9" si="20">SUM($H$4*$H9*AS9/18)</f>
        <v>0</v>
      </c>
      <c r="AU9" s="41"/>
      <c r="AV9" s="43">
        <f t="shared" ref="AV9" si="21">SUM($H$4*$H9*AU9/18)*0.7</f>
        <v>0</v>
      </c>
      <c r="AW9" s="37"/>
      <c r="AX9" s="43">
        <f t="shared" ref="AX9" si="22">SUM($H$4*$H9*AW9/18)*0.3</f>
        <v>0</v>
      </c>
      <c r="AY9" s="41"/>
      <c r="AZ9" s="38">
        <f t="shared" ref="AZ9" si="23">SUM(($H$4*0.25)/18)*AY9</f>
        <v>0</v>
      </c>
      <c r="BA9" s="43"/>
      <c r="BB9" s="43">
        <f t="shared" ref="BB9" si="24">SUM($H$4*0.2)*BA9</f>
        <v>0</v>
      </c>
      <c r="BC9" s="43"/>
      <c r="BD9" s="38">
        <f t="shared" ref="BD9" si="25">((($H$4*BC9)/100)*20)/100</f>
        <v>0</v>
      </c>
      <c r="BE9" s="414">
        <v>2</v>
      </c>
      <c r="BF9" s="43">
        <f t="shared" ref="BF9" si="26">SUM((U9/O9*BE9)*0.1)</f>
        <v>1022.4933333333335</v>
      </c>
      <c r="BG9" s="8">
        <f t="shared" ref="BG9" si="27">AL9+AN9+AP9+AT9+AV9+AX9+AZ9+BB9+BD9+BF9+AR9</f>
        <v>1022.4933333333335</v>
      </c>
      <c r="BH9" s="427">
        <f t="shared" ref="BH9" si="28">X9+BG9</f>
        <v>13803.660000000002</v>
      </c>
      <c r="BI9" s="42">
        <f>BH9*12</f>
        <v>165643.92000000001</v>
      </c>
      <c r="BJ9" s="428"/>
      <c r="BK9" s="429">
        <f t="shared" ref="BK9" si="29">SUM(($H$4*H9)+(($H$4*H9*V9)/100))*BJ9</f>
        <v>0</v>
      </c>
    </row>
    <row r="10" spans="1:64" ht="18.75" customHeight="1">
      <c r="A10" s="419">
        <v>2</v>
      </c>
      <c r="B10" s="420" t="s">
        <v>183</v>
      </c>
      <c r="C10" s="6" t="s">
        <v>245</v>
      </c>
      <c r="D10" s="421" t="s">
        <v>162</v>
      </c>
      <c r="E10" s="71">
        <v>1</v>
      </c>
      <c r="F10" s="422" t="s">
        <v>181</v>
      </c>
      <c r="G10" s="423">
        <v>29.05</v>
      </c>
      <c r="H10" s="424">
        <v>5.2</v>
      </c>
      <c r="I10" s="6">
        <f t="shared" si="0"/>
        <v>0.11</v>
      </c>
      <c r="J10" s="425"/>
      <c r="K10" s="425"/>
      <c r="L10" s="426">
        <v>1</v>
      </c>
      <c r="M10" s="426">
        <v>1</v>
      </c>
      <c r="N10" s="426"/>
      <c r="O10" s="414">
        <f t="shared" ref="O10" si="30">SUM(J10:N10)</f>
        <v>2</v>
      </c>
      <c r="P10" s="43">
        <f t="shared" ref="P10" si="31">SUM(($H$4*H10)/24)*J10</f>
        <v>0</v>
      </c>
      <c r="Q10" s="42">
        <f t="shared" ref="Q10" si="32">SUM(($H$4*H10)/24)*K10</f>
        <v>0</v>
      </c>
      <c r="R10" s="42">
        <f t="shared" ref="R10" si="33">($H$4*H10)/18*L10</f>
        <v>5112.4666666666672</v>
      </c>
      <c r="S10" s="42">
        <f t="shared" ref="S10" si="34">($H$4*H10)*M10/18</f>
        <v>5112.4666666666672</v>
      </c>
      <c r="T10" s="42">
        <f t="shared" ref="T10" si="35">($H$4*H10)/18*N10</f>
        <v>0</v>
      </c>
      <c r="U10" s="42">
        <f t="shared" ref="U10" si="36">SUM(P10:T10)</f>
        <v>10224.933333333334</v>
      </c>
      <c r="V10" s="41">
        <v>25</v>
      </c>
      <c r="W10" s="42">
        <f t="shared" ref="W10" si="37">(U10*V10)/100</f>
        <v>2556.2333333333336</v>
      </c>
      <c r="X10" s="42">
        <f t="shared" ref="X10" si="38">SUM(U10,W10)</f>
        <v>12781.166666666668</v>
      </c>
      <c r="Y10" s="426"/>
      <c r="Z10" s="42">
        <f t="shared" ref="Z10" si="39">($H$4*0.25)*Y10/18</f>
        <v>0</v>
      </c>
      <c r="AA10" s="7"/>
      <c r="AB10" s="9">
        <f t="shared" ref="AB10" si="40">SUM(($H$4*0.25)/18)*AA10</f>
        <v>0</v>
      </c>
      <c r="AC10" s="9"/>
      <c r="AD10" s="43">
        <f t="shared" ref="AD10" si="41">SUM(($H$4*0.25)/18*AC10)</f>
        <v>0</v>
      </c>
      <c r="AE10" s="426"/>
      <c r="AF10" s="9">
        <f t="shared" ref="AF10" si="42">SUM(($H$4*0.2)/18)*AE10</f>
        <v>0</v>
      </c>
      <c r="AG10" s="426"/>
      <c r="AH10" s="38">
        <f t="shared" ref="AH10" si="43">SUM(($H$4*0.2)/18)*AG10</f>
        <v>0</v>
      </c>
      <c r="AI10" s="426"/>
      <c r="AJ10" s="6">
        <f t="shared" ref="AJ10" si="44">SUM(($H$4*0.2)/18)*AI10</f>
        <v>0</v>
      </c>
      <c r="AK10" s="10">
        <f t="shared" ref="AK10" si="45">SUM(Y10,AA10,AC10,AE10,AG10,AI10)</f>
        <v>0</v>
      </c>
      <c r="AL10" s="9">
        <f t="shared" ref="AL10" si="46">SUM(Z10,AB10,AD10,AF10,AH10,AJ10)</f>
        <v>0</v>
      </c>
      <c r="AM10" s="426"/>
      <c r="AN10" s="43">
        <f t="shared" ref="AN10" si="47">SUM($H$4*0.25)*AM10</f>
        <v>0</v>
      </c>
      <c r="AO10" s="7"/>
      <c r="AP10" s="40">
        <f t="shared" ref="AP10" si="48">SUM($H$4*0.3)*AO10</f>
        <v>0</v>
      </c>
      <c r="AQ10" s="9"/>
      <c r="AR10" s="43">
        <f t="shared" ref="AR10" si="49">SUM($H$4*0.2*AQ10)</f>
        <v>0</v>
      </c>
      <c r="AS10" s="41"/>
      <c r="AT10" s="43">
        <f t="shared" ref="AT10" si="50">SUM($H$4*$H10*AS10/18)</f>
        <v>0</v>
      </c>
      <c r="AU10" s="41"/>
      <c r="AV10" s="43">
        <f t="shared" ref="AV10" si="51">SUM($H$4*$H10*AU10/18)*0.7</f>
        <v>0</v>
      </c>
      <c r="AW10" s="37"/>
      <c r="AX10" s="43">
        <f t="shared" ref="AX10" si="52">SUM($H$4*$H10*AW10/18)*0.3</f>
        <v>0</v>
      </c>
      <c r="AY10" s="41"/>
      <c r="AZ10" s="38">
        <f t="shared" ref="AZ10" si="53">SUM(($H$4*0.25)/18)*AY10</f>
        <v>0</v>
      </c>
      <c r="BA10" s="43"/>
      <c r="BB10" s="43">
        <f t="shared" ref="BB10" si="54">SUM($H$4*0.2)*BA10</f>
        <v>0</v>
      </c>
      <c r="BC10" s="43"/>
      <c r="BD10" s="38">
        <f t="shared" ref="BD10" si="55">((($H$4*BC10)/100)*20)/100</f>
        <v>0</v>
      </c>
      <c r="BE10" s="414">
        <f t="shared" ref="BE10" si="56">SUM(O10)</f>
        <v>2</v>
      </c>
      <c r="BF10" s="42">
        <f t="shared" ref="BF10" si="57">SUM((U10/O10*BE10)*0.1)</f>
        <v>1022.4933333333335</v>
      </c>
      <c r="BG10" s="8">
        <f t="shared" ref="BG10" si="58">AL10+AN10+AP10+AT10+AV10+AX10+AZ10+BB10+BD10+BF10+AR10</f>
        <v>1022.4933333333335</v>
      </c>
      <c r="BH10" s="427">
        <f t="shared" ref="BH10" si="59">X10+BG10</f>
        <v>13803.660000000002</v>
      </c>
      <c r="BI10" s="42">
        <f>BH10*12</f>
        <v>165643.92000000001</v>
      </c>
      <c r="BJ10" s="428"/>
      <c r="BK10" s="429"/>
    </row>
    <row r="11" spans="1:64" s="72" customFormat="1" ht="18.75" customHeight="1">
      <c r="A11" s="430"/>
      <c r="B11" s="86" t="s">
        <v>98</v>
      </c>
      <c r="C11" s="6"/>
      <c r="D11" s="6"/>
      <c r="E11" s="5"/>
      <c r="F11" s="422"/>
      <c r="G11" s="431"/>
      <c r="H11" s="424"/>
      <c r="I11" s="86">
        <f>SUM(I9:I10)</f>
        <v>0.22</v>
      </c>
      <c r="J11" s="86">
        <f t="shared" ref="J11:N11" si="60">SUM(J9:J9)</f>
        <v>0</v>
      </c>
      <c r="K11" s="86">
        <f t="shared" si="60"/>
        <v>0</v>
      </c>
      <c r="L11" s="86">
        <f>SUM(L9:L10)</f>
        <v>2</v>
      </c>
      <c r="M11" s="86">
        <f>SUM(M9:M10)</f>
        <v>2</v>
      </c>
      <c r="N11" s="86">
        <f t="shared" si="60"/>
        <v>0</v>
      </c>
      <c r="O11" s="274">
        <f>SUM(O9:O10)</f>
        <v>4</v>
      </c>
      <c r="P11" s="274">
        <f t="shared" ref="P11:BK11" si="61">SUM(P9:P10)</f>
        <v>0</v>
      </c>
      <c r="Q11" s="274">
        <f t="shared" si="61"/>
        <v>0</v>
      </c>
      <c r="R11" s="274">
        <f t="shared" si="61"/>
        <v>10224.933333333334</v>
      </c>
      <c r="S11" s="274">
        <f t="shared" si="61"/>
        <v>10224.933333333334</v>
      </c>
      <c r="T11" s="274">
        <f t="shared" si="61"/>
        <v>0</v>
      </c>
      <c r="U11" s="274">
        <f t="shared" si="61"/>
        <v>20449.866666666669</v>
      </c>
      <c r="V11" s="274">
        <f t="shared" si="61"/>
        <v>50</v>
      </c>
      <c r="W11" s="274">
        <f t="shared" si="61"/>
        <v>5112.4666666666672</v>
      </c>
      <c r="X11" s="274">
        <f t="shared" si="61"/>
        <v>25562.333333333336</v>
      </c>
      <c r="Y11" s="274">
        <f t="shared" si="61"/>
        <v>0</v>
      </c>
      <c r="Z11" s="274">
        <f t="shared" si="61"/>
        <v>0</v>
      </c>
      <c r="AA11" s="274">
        <f t="shared" si="61"/>
        <v>0</v>
      </c>
      <c r="AB11" s="274">
        <f t="shared" si="61"/>
        <v>0</v>
      </c>
      <c r="AC11" s="274">
        <f t="shared" si="61"/>
        <v>0</v>
      </c>
      <c r="AD11" s="274">
        <f t="shared" si="61"/>
        <v>0</v>
      </c>
      <c r="AE11" s="274">
        <f t="shared" si="61"/>
        <v>0</v>
      </c>
      <c r="AF11" s="274">
        <f t="shared" si="61"/>
        <v>0</v>
      </c>
      <c r="AG11" s="274">
        <f t="shared" si="61"/>
        <v>0</v>
      </c>
      <c r="AH11" s="274">
        <f t="shared" si="61"/>
        <v>0</v>
      </c>
      <c r="AI11" s="274">
        <f t="shared" si="61"/>
        <v>0</v>
      </c>
      <c r="AJ11" s="274">
        <f t="shared" si="61"/>
        <v>0</v>
      </c>
      <c r="AK11" s="274">
        <f t="shared" si="61"/>
        <v>0</v>
      </c>
      <c r="AL11" s="274">
        <f t="shared" si="61"/>
        <v>0</v>
      </c>
      <c r="AM11" s="274">
        <f t="shared" si="61"/>
        <v>0</v>
      </c>
      <c r="AN11" s="274">
        <f t="shared" si="61"/>
        <v>0</v>
      </c>
      <c r="AO11" s="274">
        <f t="shared" si="61"/>
        <v>0</v>
      </c>
      <c r="AP11" s="274">
        <f t="shared" si="61"/>
        <v>0</v>
      </c>
      <c r="AQ11" s="274">
        <f t="shared" si="61"/>
        <v>0</v>
      </c>
      <c r="AR11" s="274">
        <f t="shared" si="61"/>
        <v>0</v>
      </c>
      <c r="AS11" s="274">
        <f t="shared" si="61"/>
        <v>0</v>
      </c>
      <c r="AT11" s="274">
        <f t="shared" si="61"/>
        <v>0</v>
      </c>
      <c r="AU11" s="274">
        <f t="shared" si="61"/>
        <v>0</v>
      </c>
      <c r="AV11" s="274">
        <f t="shared" si="61"/>
        <v>0</v>
      </c>
      <c r="AW11" s="274">
        <f t="shared" si="61"/>
        <v>0</v>
      </c>
      <c r="AX11" s="274">
        <f t="shared" si="61"/>
        <v>0</v>
      </c>
      <c r="AY11" s="274">
        <f t="shared" si="61"/>
        <v>0</v>
      </c>
      <c r="AZ11" s="274">
        <f t="shared" si="61"/>
        <v>0</v>
      </c>
      <c r="BA11" s="274">
        <f t="shared" si="61"/>
        <v>0</v>
      </c>
      <c r="BB11" s="274">
        <f t="shared" si="61"/>
        <v>0</v>
      </c>
      <c r="BC11" s="274">
        <f t="shared" si="61"/>
        <v>0</v>
      </c>
      <c r="BD11" s="274">
        <f t="shared" si="61"/>
        <v>0</v>
      </c>
      <c r="BE11" s="274">
        <f t="shared" si="61"/>
        <v>4</v>
      </c>
      <c r="BF11" s="274">
        <f t="shared" si="61"/>
        <v>2044.9866666666669</v>
      </c>
      <c r="BG11" s="274">
        <f t="shared" si="61"/>
        <v>2044.9866666666669</v>
      </c>
      <c r="BH11" s="274">
        <f t="shared" si="61"/>
        <v>27607.320000000003</v>
      </c>
      <c r="BI11" s="274">
        <f t="shared" si="61"/>
        <v>331287.84000000003</v>
      </c>
      <c r="BJ11" s="274">
        <f t="shared" si="61"/>
        <v>0</v>
      </c>
      <c r="BK11" s="274">
        <f t="shared" si="61"/>
        <v>0</v>
      </c>
    </row>
    <row r="12" spans="1:64" ht="20.100000000000001" customHeight="1">
      <c r="A12" s="63"/>
      <c r="B12" s="73" t="s">
        <v>103</v>
      </c>
      <c r="C12" s="73"/>
      <c r="D12" s="73"/>
      <c r="E12" s="73"/>
      <c r="F12" s="74"/>
      <c r="G12" s="432"/>
      <c r="H12" s="433"/>
      <c r="I12" s="75">
        <f>SUM(I11)</f>
        <v>0.22</v>
      </c>
      <c r="J12" s="75">
        <f t="shared" ref="J12:BK12" si="62">SUM(J11)</f>
        <v>0</v>
      </c>
      <c r="K12" s="75">
        <f t="shared" si="62"/>
        <v>0</v>
      </c>
      <c r="L12" s="75">
        <f t="shared" si="62"/>
        <v>2</v>
      </c>
      <c r="M12" s="75">
        <f t="shared" si="62"/>
        <v>2</v>
      </c>
      <c r="N12" s="75">
        <f t="shared" si="62"/>
        <v>0</v>
      </c>
      <c r="O12" s="75">
        <f t="shared" si="62"/>
        <v>4</v>
      </c>
      <c r="P12" s="75">
        <f t="shared" si="62"/>
        <v>0</v>
      </c>
      <c r="Q12" s="75">
        <f t="shared" si="62"/>
        <v>0</v>
      </c>
      <c r="R12" s="268">
        <f t="shared" si="62"/>
        <v>10224.933333333334</v>
      </c>
      <c r="S12" s="75">
        <f t="shared" si="62"/>
        <v>10224.933333333334</v>
      </c>
      <c r="T12" s="75">
        <f t="shared" si="62"/>
        <v>0</v>
      </c>
      <c r="U12" s="75">
        <f t="shared" si="62"/>
        <v>20449.866666666669</v>
      </c>
      <c r="V12" s="75">
        <f t="shared" si="62"/>
        <v>50</v>
      </c>
      <c r="W12" s="75">
        <f t="shared" si="62"/>
        <v>5112.4666666666672</v>
      </c>
      <c r="X12" s="75">
        <f t="shared" si="62"/>
        <v>25562.333333333336</v>
      </c>
      <c r="Y12" s="75">
        <f t="shared" si="62"/>
        <v>0</v>
      </c>
      <c r="Z12" s="75">
        <f t="shared" si="62"/>
        <v>0</v>
      </c>
      <c r="AA12" s="75">
        <f t="shared" si="62"/>
        <v>0</v>
      </c>
      <c r="AB12" s="75">
        <f t="shared" si="62"/>
        <v>0</v>
      </c>
      <c r="AC12" s="75">
        <f t="shared" si="62"/>
        <v>0</v>
      </c>
      <c r="AD12" s="75">
        <f t="shared" si="62"/>
        <v>0</v>
      </c>
      <c r="AE12" s="75">
        <f t="shared" si="62"/>
        <v>0</v>
      </c>
      <c r="AF12" s="75">
        <f t="shared" si="62"/>
        <v>0</v>
      </c>
      <c r="AG12" s="75">
        <f t="shared" si="62"/>
        <v>0</v>
      </c>
      <c r="AH12" s="75">
        <f t="shared" si="62"/>
        <v>0</v>
      </c>
      <c r="AI12" s="75">
        <f t="shared" si="62"/>
        <v>0</v>
      </c>
      <c r="AJ12" s="75">
        <f t="shared" si="62"/>
        <v>0</v>
      </c>
      <c r="AK12" s="75">
        <f t="shared" si="62"/>
        <v>0</v>
      </c>
      <c r="AL12" s="75">
        <f t="shared" si="62"/>
        <v>0</v>
      </c>
      <c r="AM12" s="75">
        <f t="shared" si="62"/>
        <v>0</v>
      </c>
      <c r="AN12" s="75">
        <f t="shared" si="62"/>
        <v>0</v>
      </c>
      <c r="AO12" s="75">
        <f t="shared" si="62"/>
        <v>0</v>
      </c>
      <c r="AP12" s="75">
        <f t="shared" si="62"/>
        <v>0</v>
      </c>
      <c r="AQ12" s="75">
        <f t="shared" si="62"/>
        <v>0</v>
      </c>
      <c r="AR12" s="75">
        <f t="shared" si="62"/>
        <v>0</v>
      </c>
      <c r="AS12" s="75">
        <f t="shared" si="62"/>
        <v>0</v>
      </c>
      <c r="AT12" s="75">
        <f t="shared" si="62"/>
        <v>0</v>
      </c>
      <c r="AU12" s="75">
        <f t="shared" si="62"/>
        <v>0</v>
      </c>
      <c r="AV12" s="75">
        <f t="shared" si="62"/>
        <v>0</v>
      </c>
      <c r="AW12" s="75">
        <f t="shared" si="62"/>
        <v>0</v>
      </c>
      <c r="AX12" s="75">
        <f t="shared" si="62"/>
        <v>0</v>
      </c>
      <c r="AY12" s="75">
        <f t="shared" si="62"/>
        <v>0</v>
      </c>
      <c r="AZ12" s="75">
        <f t="shared" si="62"/>
        <v>0</v>
      </c>
      <c r="BA12" s="75">
        <f t="shared" si="62"/>
        <v>0</v>
      </c>
      <c r="BB12" s="75">
        <f t="shared" si="62"/>
        <v>0</v>
      </c>
      <c r="BC12" s="75">
        <f t="shared" si="62"/>
        <v>0</v>
      </c>
      <c r="BD12" s="75">
        <f t="shared" si="62"/>
        <v>0</v>
      </c>
      <c r="BE12" s="75">
        <f t="shared" si="62"/>
        <v>4</v>
      </c>
      <c r="BF12" s="268">
        <f t="shared" si="62"/>
        <v>2044.9866666666669</v>
      </c>
      <c r="BG12" s="268">
        <f t="shared" si="62"/>
        <v>2044.9866666666669</v>
      </c>
      <c r="BH12" s="268">
        <f t="shared" si="62"/>
        <v>27607.320000000003</v>
      </c>
      <c r="BI12" s="268">
        <f t="shared" si="62"/>
        <v>331287.84000000003</v>
      </c>
      <c r="BJ12" s="75">
        <f t="shared" si="62"/>
        <v>0</v>
      </c>
      <c r="BK12" s="75">
        <f t="shared" si="62"/>
        <v>0</v>
      </c>
      <c r="BL12" s="75"/>
    </row>
    <row r="13" spans="1:64" ht="20.25">
      <c r="A13" s="11"/>
      <c r="B13" s="13"/>
      <c r="C13" s="13"/>
      <c r="D13" s="13"/>
      <c r="E13" s="13"/>
      <c r="F13" s="76"/>
      <c r="G13" s="13"/>
      <c r="H13" s="13"/>
      <c r="I13" s="12"/>
      <c r="J13" s="12"/>
      <c r="K13" s="12"/>
      <c r="L13" s="12"/>
      <c r="M13" s="12"/>
      <c r="N13" s="12"/>
      <c r="O13" s="434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435"/>
      <c r="BF13" s="12"/>
      <c r="BG13" s="12"/>
      <c r="BH13" s="436"/>
      <c r="BI13" s="12"/>
    </row>
    <row r="14" spans="1:64" ht="15.75">
      <c r="A14" s="13"/>
      <c r="B14" s="57"/>
      <c r="C14" s="401" t="s">
        <v>301</v>
      </c>
      <c r="D14" s="401"/>
      <c r="E14" s="401" t="s">
        <v>369</v>
      </c>
      <c r="F14" s="77"/>
      <c r="G14" s="58"/>
      <c r="H14" s="401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14"/>
      <c r="T14" s="401" t="s">
        <v>372</v>
      </c>
      <c r="U14" s="401"/>
      <c r="V14" s="14"/>
      <c r="W14" s="59" t="s">
        <v>371</v>
      </c>
      <c r="X14" s="59"/>
      <c r="Y14" s="59"/>
      <c r="Z14" s="14"/>
      <c r="AA14" s="14"/>
      <c r="AB14" s="14"/>
      <c r="AC14" s="14"/>
      <c r="AD14" s="14"/>
      <c r="AE14" s="78"/>
      <c r="AF14" s="14"/>
      <c r="AG14" s="78"/>
      <c r="AH14" s="14"/>
      <c r="AI14" s="78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</row>
    <row r="15" spans="1:64" ht="15.75">
      <c r="A15" s="13"/>
      <c r="B15" s="14"/>
      <c r="C15" s="401"/>
      <c r="D15" s="401"/>
      <c r="E15" s="401"/>
      <c r="F15" s="77"/>
      <c r="G15" s="58"/>
      <c r="H15" s="401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14"/>
      <c r="T15" s="401"/>
      <c r="U15" s="401" t="s">
        <v>43</v>
      </c>
      <c r="V15" s="14"/>
      <c r="W15" s="59"/>
      <c r="X15" s="59"/>
      <c r="Y15" s="59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</row>
    <row r="16" spans="1:64" ht="15.75">
      <c r="A16" s="14"/>
      <c r="B16" s="14"/>
      <c r="C16" s="58" t="s">
        <v>96</v>
      </c>
      <c r="D16" s="58"/>
      <c r="E16" s="58" t="s">
        <v>370</v>
      </c>
      <c r="F16" s="77"/>
      <c r="G16" s="58"/>
      <c r="H16" s="401"/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14"/>
      <c r="T16" s="401" t="s">
        <v>376</v>
      </c>
      <c r="U16" s="401"/>
      <c r="V16" s="14"/>
      <c r="W16" s="59"/>
      <c r="X16" s="59" t="s">
        <v>364</v>
      </c>
      <c r="Y16" s="59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</row>
    <row r="17" spans="1:61" ht="15.75">
      <c r="A17" s="14"/>
      <c r="B17" s="14"/>
      <c r="C17" s="58"/>
      <c r="D17" s="58"/>
      <c r="E17" s="58"/>
      <c r="F17" s="77"/>
      <c r="G17" s="58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14"/>
      <c r="T17" s="401"/>
      <c r="U17" s="401"/>
      <c r="V17" s="14"/>
      <c r="W17" s="59"/>
      <c r="X17" s="59"/>
      <c r="Y17" s="59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</row>
    <row r="18" spans="1:61" ht="15.75">
      <c r="A18" s="14"/>
      <c r="B18" s="14"/>
      <c r="C18" s="58" t="s">
        <v>97</v>
      </c>
      <c r="D18" s="58"/>
      <c r="E18" s="58" t="s">
        <v>365</v>
      </c>
      <c r="F18" s="77"/>
      <c r="G18" s="58"/>
      <c r="H18" s="401"/>
      <c r="I18" s="401"/>
      <c r="J18" s="401"/>
      <c r="K18" s="401"/>
      <c r="L18" s="401"/>
      <c r="M18" s="401"/>
      <c r="N18" s="401"/>
      <c r="O18" s="401"/>
      <c r="P18" s="401"/>
      <c r="Q18" s="401"/>
      <c r="R18" s="401"/>
      <c r="S18" s="14"/>
      <c r="T18" s="401" t="s">
        <v>366</v>
      </c>
      <c r="U18" s="401"/>
      <c r="V18" s="14"/>
      <c r="W18" s="59"/>
      <c r="X18" s="59" t="s">
        <v>296</v>
      </c>
      <c r="Y18" s="59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</row>
    <row r="19" spans="1:61" ht="15.75">
      <c r="A19" s="14"/>
      <c r="B19" s="14"/>
      <c r="C19" s="58"/>
      <c r="D19" s="58"/>
      <c r="E19" s="58"/>
      <c r="F19" s="58"/>
      <c r="G19" s="58"/>
      <c r="H19" s="58"/>
      <c r="I19" s="401"/>
      <c r="J19" s="401"/>
      <c r="K19" s="401"/>
      <c r="L19" s="401"/>
      <c r="M19" s="401"/>
      <c r="N19" s="401"/>
      <c r="O19" s="401"/>
      <c r="P19" s="401"/>
      <c r="Q19" s="401"/>
      <c r="R19" s="401"/>
      <c r="S19" s="14"/>
      <c r="T19" s="401"/>
      <c r="U19" s="401"/>
      <c r="V19" s="14"/>
      <c r="W19" s="59"/>
      <c r="X19" s="59"/>
      <c r="Y19" s="59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</row>
    <row r="20" spans="1:61" ht="15.75">
      <c r="A20" s="14"/>
      <c r="B20" s="14"/>
      <c r="C20" s="58"/>
      <c r="D20" s="58"/>
      <c r="E20" s="58" t="s">
        <v>367</v>
      </c>
      <c r="F20" s="401"/>
      <c r="G20" s="58"/>
      <c r="H20" s="401"/>
      <c r="I20" s="401"/>
      <c r="J20" s="401"/>
      <c r="K20" s="401"/>
      <c r="L20" s="401"/>
      <c r="M20" s="401"/>
      <c r="N20" s="401"/>
      <c r="O20" s="401"/>
      <c r="P20" s="401"/>
      <c r="Q20" s="401"/>
      <c r="R20" s="401"/>
      <c r="S20" s="14"/>
      <c r="T20" s="746" t="s">
        <v>45</v>
      </c>
      <c r="U20" s="746"/>
      <c r="V20" s="14"/>
      <c r="W20" s="59"/>
      <c r="X20" s="59" t="s">
        <v>368</v>
      </c>
      <c r="Y20" s="59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</row>
    <row r="21" spans="1:61">
      <c r="A21" s="1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>
      <c r="A22" s="1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>
      <c r="A24" s="1"/>
    </row>
    <row r="25" spans="1:61">
      <c r="A25" s="1"/>
    </row>
  </sheetData>
  <mergeCells count="35">
    <mergeCell ref="T20:U20"/>
    <mergeCell ref="AS6:AT6"/>
    <mergeCell ref="AU6:AV6"/>
    <mergeCell ref="AW6:AX6"/>
    <mergeCell ref="AY6:AZ6"/>
    <mergeCell ref="AQ6:AR6"/>
    <mergeCell ref="BH5:BH7"/>
    <mergeCell ref="BI5:BI7"/>
    <mergeCell ref="BJ5:BK6"/>
    <mergeCell ref="J6:O6"/>
    <mergeCell ref="V6:W6"/>
    <mergeCell ref="X6:X7"/>
    <mergeCell ref="Y6:AK6"/>
    <mergeCell ref="AM6:AP6"/>
    <mergeCell ref="BE6:BF6"/>
    <mergeCell ref="BG6:BG7"/>
    <mergeCell ref="BA6:BB6"/>
    <mergeCell ref="BC6:BD6"/>
    <mergeCell ref="G6:G7"/>
    <mergeCell ref="H6:H7"/>
    <mergeCell ref="I6:I7"/>
    <mergeCell ref="I5:O5"/>
    <mergeCell ref="P5:U6"/>
    <mergeCell ref="B1:D1"/>
    <mergeCell ref="B2:K2"/>
    <mergeCell ref="B3:F3"/>
    <mergeCell ref="K3:T3"/>
    <mergeCell ref="K4:T4"/>
    <mergeCell ref="A5:A7"/>
    <mergeCell ref="B5:B7"/>
    <mergeCell ref="C5:C7"/>
    <mergeCell ref="D5:D7"/>
    <mergeCell ref="E5:F5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scale="28" fitToHeight="0" orientation="landscape" r:id="rId1"/>
  <colBreaks count="1" manualBreakCount="1">
    <brk id="2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54"/>
  <sheetViews>
    <sheetView view="pageBreakPreview" zoomScale="60" zoomScaleNormal="41" workbookViewId="0">
      <pane xSplit="22" ySplit="19" topLeftCell="W20" activePane="bottomRight" state="frozen"/>
      <selection pane="topRight" activeCell="W1" sqref="W1"/>
      <selection pane="bottomLeft" activeCell="A20" sqref="A20"/>
      <selection pane="bottomRight" activeCell="S47" sqref="S47"/>
    </sheetView>
  </sheetViews>
  <sheetFormatPr defaultRowHeight="12.75"/>
  <cols>
    <col min="1" max="1" width="4.28515625" customWidth="1"/>
    <col min="2" max="2" width="28.7109375" customWidth="1"/>
    <col min="3" max="3" width="20.28515625" customWidth="1"/>
    <col min="4" max="12" width="5.85546875" customWidth="1"/>
    <col min="13" max="13" width="8" customWidth="1"/>
    <col min="14" max="22" width="5.85546875" customWidth="1"/>
    <col min="23" max="23" width="7.5703125" customWidth="1"/>
    <col min="24" max="24" width="7.28515625" customWidth="1"/>
    <col min="25" max="57" width="5.85546875" customWidth="1"/>
    <col min="58" max="58" width="7.5703125" customWidth="1"/>
    <col min="59" max="59" width="7.28515625" customWidth="1"/>
  </cols>
  <sheetData>
    <row r="1" spans="1:59" ht="15.75">
      <c r="A1" s="141"/>
      <c r="B1" s="154" t="s">
        <v>409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3"/>
      <c r="X1" s="152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</row>
    <row r="2" spans="1:59" ht="15.75">
      <c r="A2" s="141"/>
      <c r="B2" s="151" t="s">
        <v>410</v>
      </c>
      <c r="C2" s="151" t="s">
        <v>105</v>
      </c>
      <c r="D2" s="150" t="s">
        <v>444</v>
      </c>
      <c r="E2" s="150"/>
      <c r="F2" s="150"/>
      <c r="G2" s="150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1"/>
      <c r="X2" s="142"/>
      <c r="Y2" s="148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</row>
    <row r="3" spans="1:59" s="194" customFormat="1" ht="17.25" customHeight="1">
      <c r="A3" s="629" t="s">
        <v>75</v>
      </c>
      <c r="B3" s="628" t="s">
        <v>106</v>
      </c>
      <c r="C3" s="628" t="s">
        <v>107</v>
      </c>
      <c r="D3" s="193"/>
      <c r="E3" s="193"/>
      <c r="F3" s="193"/>
      <c r="G3" s="193"/>
      <c r="H3" s="628" t="s">
        <v>264</v>
      </c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442"/>
      <c r="Y3" s="628" t="s">
        <v>89</v>
      </c>
      <c r="Z3" s="628"/>
      <c r="AA3" s="628"/>
      <c r="AB3" s="628"/>
      <c r="AC3" s="628"/>
      <c r="AD3" s="628"/>
      <c r="AE3" s="628"/>
      <c r="AF3" s="628"/>
      <c r="AG3" s="628"/>
      <c r="AH3" s="628"/>
      <c r="AI3" s="628"/>
      <c r="AJ3" s="628"/>
      <c r="AK3" s="628"/>
      <c r="AL3" s="628"/>
      <c r="AM3" s="628" t="s">
        <v>76</v>
      </c>
      <c r="AN3" s="628"/>
      <c r="AO3" s="628"/>
      <c r="AP3" s="628"/>
      <c r="AQ3" s="628"/>
      <c r="AR3" s="628"/>
      <c r="AS3" s="628"/>
      <c r="AT3" s="628"/>
      <c r="AU3" s="628"/>
      <c r="AV3" s="628"/>
      <c r="AW3" s="628"/>
      <c r="AX3" s="628"/>
      <c r="AY3" s="628"/>
      <c r="AZ3" s="628"/>
      <c r="BA3" s="628"/>
      <c r="BB3" s="628"/>
      <c r="BC3" s="628"/>
      <c r="BD3" s="628"/>
      <c r="BE3" s="628"/>
      <c r="BF3" s="193" t="s">
        <v>77</v>
      </c>
      <c r="BG3" s="193" t="s">
        <v>77</v>
      </c>
    </row>
    <row r="4" spans="1:59" s="194" customFormat="1" ht="17.25" customHeight="1" thickBot="1">
      <c r="A4" s="630"/>
      <c r="B4" s="631"/>
      <c r="C4" s="631"/>
      <c r="D4" s="458" t="s">
        <v>108</v>
      </c>
      <c r="E4" s="459" t="s">
        <v>260</v>
      </c>
      <c r="F4" s="459" t="s">
        <v>259</v>
      </c>
      <c r="G4" s="459" t="s">
        <v>258</v>
      </c>
      <c r="H4" s="459" t="s">
        <v>257</v>
      </c>
      <c r="I4" s="459" t="s">
        <v>256</v>
      </c>
      <c r="J4" s="459" t="s">
        <v>255</v>
      </c>
      <c r="K4" s="459" t="s">
        <v>254</v>
      </c>
      <c r="L4" s="459" t="s">
        <v>253</v>
      </c>
      <c r="M4" s="460" t="s">
        <v>109</v>
      </c>
      <c r="N4" s="460" t="s">
        <v>262</v>
      </c>
      <c r="O4" s="460" t="s">
        <v>263</v>
      </c>
      <c r="P4" s="459" t="s">
        <v>315</v>
      </c>
      <c r="Q4" s="459" t="s">
        <v>251</v>
      </c>
      <c r="R4" s="459" t="s">
        <v>250</v>
      </c>
      <c r="S4" s="459" t="s">
        <v>261</v>
      </c>
      <c r="T4" s="459" t="s">
        <v>386</v>
      </c>
      <c r="U4" s="461" t="s">
        <v>249</v>
      </c>
      <c r="V4" s="459" t="s">
        <v>248</v>
      </c>
      <c r="W4" s="460" t="s">
        <v>110</v>
      </c>
      <c r="X4" s="460" t="s">
        <v>111</v>
      </c>
      <c r="Y4" s="459" t="s">
        <v>259</v>
      </c>
      <c r="Z4" s="459" t="s">
        <v>258</v>
      </c>
      <c r="AA4" s="459" t="s">
        <v>257</v>
      </c>
      <c r="AB4" s="460" t="s">
        <v>109</v>
      </c>
      <c r="AC4" s="460" t="s">
        <v>262</v>
      </c>
      <c r="AD4" s="459" t="s">
        <v>263</v>
      </c>
      <c r="AE4" s="459" t="s">
        <v>315</v>
      </c>
      <c r="AF4" s="459" t="s">
        <v>251</v>
      </c>
      <c r="AG4" s="459" t="s">
        <v>250</v>
      </c>
      <c r="AH4" s="459" t="s">
        <v>386</v>
      </c>
      <c r="AI4" s="459" t="s">
        <v>249</v>
      </c>
      <c r="AJ4" s="459" t="s">
        <v>248</v>
      </c>
      <c r="AK4" s="460" t="s">
        <v>110</v>
      </c>
      <c r="AL4" s="460" t="s">
        <v>111</v>
      </c>
      <c r="AM4" s="459" t="s">
        <v>260</v>
      </c>
      <c r="AN4" s="459" t="s">
        <v>259</v>
      </c>
      <c r="AO4" s="459" t="s">
        <v>258</v>
      </c>
      <c r="AP4" s="459" t="s">
        <v>257</v>
      </c>
      <c r="AQ4" s="459" t="s">
        <v>256</v>
      </c>
      <c r="AR4" s="459" t="s">
        <v>255</v>
      </c>
      <c r="AS4" s="459" t="s">
        <v>254</v>
      </c>
      <c r="AT4" s="459" t="s">
        <v>253</v>
      </c>
      <c r="AU4" s="460" t="s">
        <v>109</v>
      </c>
      <c r="AV4" s="460" t="s">
        <v>252</v>
      </c>
      <c r="AW4" s="459" t="s">
        <v>263</v>
      </c>
      <c r="AX4" s="459" t="s">
        <v>315</v>
      </c>
      <c r="AY4" s="459" t="s">
        <v>251</v>
      </c>
      <c r="AZ4" s="459" t="s">
        <v>250</v>
      </c>
      <c r="BA4" s="459" t="s">
        <v>261</v>
      </c>
      <c r="BB4" s="459" t="s">
        <v>386</v>
      </c>
      <c r="BC4" s="459" t="s">
        <v>248</v>
      </c>
      <c r="BD4" s="460" t="s">
        <v>110</v>
      </c>
      <c r="BE4" s="460" t="s">
        <v>111</v>
      </c>
      <c r="BF4" s="460">
        <f>SUM(X4,AL4,BE4)</f>
        <v>0</v>
      </c>
      <c r="BG4" s="459"/>
    </row>
    <row r="5" spans="1:59" s="194" customFormat="1" ht="16.5" thickBot="1">
      <c r="A5" s="462">
        <v>1</v>
      </c>
      <c r="B5" s="463" t="s">
        <v>145</v>
      </c>
      <c r="C5" s="464" t="s">
        <v>191</v>
      </c>
      <c r="D5" s="464"/>
      <c r="E5" s="464"/>
      <c r="F5" s="464"/>
      <c r="G5" s="464"/>
      <c r="H5" s="464"/>
      <c r="I5" s="464"/>
      <c r="J5" s="464"/>
      <c r="K5" s="464"/>
      <c r="L5" s="464"/>
      <c r="M5" s="465">
        <f>SUM(E5:L5)</f>
        <v>0</v>
      </c>
      <c r="N5" s="465"/>
      <c r="O5" s="465"/>
      <c r="P5" s="465">
        <v>1</v>
      </c>
      <c r="Q5" s="466">
        <v>2</v>
      </c>
      <c r="R5" s="466">
        <v>2</v>
      </c>
      <c r="S5" s="466"/>
      <c r="T5" s="464"/>
      <c r="U5" s="467">
        <v>2</v>
      </c>
      <c r="V5" s="464">
        <v>2</v>
      </c>
      <c r="W5" s="468">
        <f>SUM(N5:V5)</f>
        <v>9</v>
      </c>
      <c r="X5" s="469">
        <f>SUM(W5,M5)</f>
        <v>9</v>
      </c>
      <c r="Y5" s="470"/>
      <c r="Z5" s="470"/>
      <c r="AA5" s="464"/>
      <c r="AB5" s="471">
        <f>SUM(Y5:AA5)</f>
        <v>0</v>
      </c>
      <c r="AC5" s="471"/>
      <c r="AD5" s="464"/>
      <c r="AE5" s="464"/>
      <c r="AF5" s="464"/>
      <c r="AG5" s="464"/>
      <c r="AH5" s="464"/>
      <c r="AI5" s="464"/>
      <c r="AJ5" s="464"/>
      <c r="AK5" s="471">
        <f>SUM(AC5:AJ5)</f>
        <v>0</v>
      </c>
      <c r="AL5" s="471">
        <f t="shared" ref="AL5:AL50" si="0">SUM(AK5,AB5)</f>
        <v>0</v>
      </c>
      <c r="AM5" s="464"/>
      <c r="AN5" s="464"/>
      <c r="AO5" s="464"/>
      <c r="AP5" s="464"/>
      <c r="AQ5" s="464"/>
      <c r="AR5" s="464"/>
      <c r="AS5" s="464"/>
      <c r="AT5" s="464"/>
      <c r="AU5" s="471">
        <f t="shared" ref="AU5:AU45" si="1">SUM(AM5:AT5)</f>
        <v>0</v>
      </c>
      <c r="AV5" s="471"/>
      <c r="AW5" s="464"/>
      <c r="AX5" s="464"/>
      <c r="AY5" s="464"/>
      <c r="AZ5" s="464"/>
      <c r="BA5" s="464"/>
      <c r="BB5" s="464"/>
      <c r="BC5" s="464"/>
      <c r="BD5" s="471">
        <f>SUM(AV5:BC5)</f>
        <v>0</v>
      </c>
      <c r="BE5" s="471">
        <f>SUM(BD5,AU5)</f>
        <v>0</v>
      </c>
      <c r="BF5" s="471">
        <f t="shared" ref="BF5:BF39" si="2">SUM(X5+AL5+BE5)</f>
        <v>9</v>
      </c>
      <c r="BG5" s="472">
        <v>9</v>
      </c>
    </row>
    <row r="6" spans="1:59" s="194" customFormat="1" ht="15.75">
      <c r="A6" s="632">
        <v>2</v>
      </c>
      <c r="B6" s="635" t="s">
        <v>147</v>
      </c>
      <c r="C6" s="473" t="s">
        <v>167</v>
      </c>
      <c r="D6" s="474"/>
      <c r="E6" s="474"/>
      <c r="F6" s="474"/>
      <c r="G6" s="474"/>
      <c r="H6" s="473"/>
      <c r="I6" s="473"/>
      <c r="J6" s="473"/>
      <c r="K6" s="473"/>
      <c r="L6" s="473"/>
      <c r="M6" s="475">
        <f t="shared" ref="M6:M50" si="3">SUM(E6:L6)</f>
        <v>0</v>
      </c>
      <c r="N6" s="475"/>
      <c r="O6" s="475"/>
      <c r="P6" s="475"/>
      <c r="Q6" s="475"/>
      <c r="R6" s="475"/>
      <c r="S6" s="475"/>
      <c r="T6" s="473"/>
      <c r="U6" s="473">
        <v>2</v>
      </c>
      <c r="V6" s="473">
        <v>2</v>
      </c>
      <c r="W6" s="476">
        <f t="shared" ref="W6:W46" si="4">SUM(N6:V6)</f>
        <v>4</v>
      </c>
      <c r="X6" s="477">
        <f t="shared" ref="X6:X46" si="5">SUM(W6,M6)</f>
        <v>4</v>
      </c>
      <c r="Y6" s="473"/>
      <c r="Z6" s="473"/>
      <c r="AA6" s="473"/>
      <c r="AB6" s="478">
        <f t="shared" ref="AB6:AB37" si="6">SUM(Y6:AA6)</f>
        <v>0</v>
      </c>
      <c r="AC6" s="478"/>
      <c r="AD6" s="473"/>
      <c r="AE6" s="473"/>
      <c r="AF6" s="473"/>
      <c r="AG6" s="473"/>
      <c r="AH6" s="473"/>
      <c r="AI6" s="473"/>
      <c r="AJ6" s="473"/>
      <c r="AK6" s="478">
        <f t="shared" ref="AK6:AK32" si="7">SUM(AC6:AJ6)</f>
        <v>0</v>
      </c>
      <c r="AL6" s="478">
        <f t="shared" si="0"/>
        <v>0</v>
      </c>
      <c r="AM6" s="473"/>
      <c r="AN6" s="473"/>
      <c r="AO6" s="473"/>
      <c r="AP6" s="473"/>
      <c r="AQ6" s="473"/>
      <c r="AR6" s="473"/>
      <c r="AS6" s="473"/>
      <c r="AT6" s="473"/>
      <c r="AU6" s="478">
        <f t="shared" si="1"/>
        <v>0</v>
      </c>
      <c r="AV6" s="478"/>
      <c r="AW6" s="473"/>
      <c r="AX6" s="473"/>
      <c r="AY6" s="473"/>
      <c r="AZ6" s="473"/>
      <c r="BA6" s="473"/>
      <c r="BB6" s="473"/>
      <c r="BC6" s="473"/>
      <c r="BD6" s="478">
        <f t="shared" ref="BD6:BD50" si="8">SUM(AV6:BC6)</f>
        <v>0</v>
      </c>
      <c r="BE6" s="478">
        <f t="shared" ref="BE6:BE50" si="9">SUM(BD6,AU6)</f>
        <v>0</v>
      </c>
      <c r="BF6" s="478">
        <f t="shared" si="2"/>
        <v>4</v>
      </c>
      <c r="BG6" s="638">
        <v>10</v>
      </c>
    </row>
    <row r="7" spans="1:59" s="194" customFormat="1" ht="15.75">
      <c r="A7" s="633"/>
      <c r="B7" s="636"/>
      <c r="C7" s="196" t="s">
        <v>245</v>
      </c>
      <c r="D7" s="441"/>
      <c r="E7" s="441"/>
      <c r="F7" s="441"/>
      <c r="G7" s="441"/>
      <c r="H7" s="196"/>
      <c r="I7" s="196"/>
      <c r="J7" s="196"/>
      <c r="K7" s="196">
        <v>1</v>
      </c>
      <c r="L7" s="196">
        <v>1</v>
      </c>
      <c r="M7" s="198">
        <f t="shared" si="3"/>
        <v>2</v>
      </c>
      <c r="N7" s="198"/>
      <c r="O7" s="198"/>
      <c r="P7" s="198"/>
      <c r="Q7" s="198"/>
      <c r="R7" s="198"/>
      <c r="S7" s="198">
        <v>1</v>
      </c>
      <c r="T7" s="196">
        <v>1</v>
      </c>
      <c r="U7" s="196">
        <v>1</v>
      </c>
      <c r="V7" s="196"/>
      <c r="W7" s="479">
        <f t="shared" si="4"/>
        <v>3</v>
      </c>
      <c r="X7" s="480">
        <f t="shared" si="5"/>
        <v>5</v>
      </c>
      <c r="Y7" s="196"/>
      <c r="Z7" s="196"/>
      <c r="AA7" s="196"/>
      <c r="AB7" s="481">
        <f t="shared" si="6"/>
        <v>0</v>
      </c>
      <c r="AC7" s="481"/>
      <c r="AD7" s="196"/>
      <c r="AE7" s="196"/>
      <c r="AF7" s="196"/>
      <c r="AG7" s="196"/>
      <c r="AH7" s="196"/>
      <c r="AI7" s="196"/>
      <c r="AJ7" s="196"/>
      <c r="AK7" s="481">
        <f t="shared" si="7"/>
        <v>0</v>
      </c>
      <c r="AL7" s="481">
        <f t="shared" si="0"/>
        <v>0</v>
      </c>
      <c r="AM7" s="196"/>
      <c r="AN7" s="196"/>
      <c r="AO7" s="196"/>
      <c r="AP7" s="196"/>
      <c r="AQ7" s="196"/>
      <c r="AR7" s="196"/>
      <c r="AS7" s="196"/>
      <c r="AT7" s="196"/>
      <c r="AU7" s="481">
        <f t="shared" si="1"/>
        <v>0</v>
      </c>
      <c r="AV7" s="481"/>
      <c r="AW7" s="196"/>
      <c r="AX7" s="196"/>
      <c r="AY7" s="196"/>
      <c r="AZ7" s="196"/>
      <c r="BA7" s="196"/>
      <c r="BB7" s="196"/>
      <c r="BC7" s="196"/>
      <c r="BD7" s="481">
        <f t="shared" si="8"/>
        <v>0</v>
      </c>
      <c r="BE7" s="481">
        <f t="shared" si="9"/>
        <v>0</v>
      </c>
      <c r="BF7" s="481">
        <f t="shared" si="2"/>
        <v>5</v>
      </c>
      <c r="BG7" s="639"/>
    </row>
    <row r="8" spans="1:59" s="194" customFormat="1" ht="16.5" thickBot="1">
      <c r="A8" s="634"/>
      <c r="B8" s="637"/>
      <c r="C8" s="482" t="s">
        <v>285</v>
      </c>
      <c r="D8" s="483"/>
      <c r="E8" s="483"/>
      <c r="F8" s="483"/>
      <c r="G8" s="483"/>
      <c r="H8" s="482"/>
      <c r="I8" s="482"/>
      <c r="J8" s="482"/>
      <c r="K8" s="482"/>
      <c r="L8" s="482"/>
      <c r="M8" s="484">
        <f t="shared" si="3"/>
        <v>0</v>
      </c>
      <c r="N8" s="484"/>
      <c r="O8" s="484"/>
      <c r="P8" s="484"/>
      <c r="Q8" s="484"/>
      <c r="R8" s="484"/>
      <c r="S8" s="484"/>
      <c r="T8" s="482"/>
      <c r="U8" s="482"/>
      <c r="V8" s="482">
        <v>1</v>
      </c>
      <c r="W8" s="485">
        <f t="shared" si="4"/>
        <v>1</v>
      </c>
      <c r="X8" s="486">
        <f t="shared" si="5"/>
        <v>1</v>
      </c>
      <c r="Y8" s="482"/>
      <c r="Z8" s="482"/>
      <c r="AA8" s="482"/>
      <c r="AB8" s="487">
        <f t="shared" si="6"/>
        <v>0</v>
      </c>
      <c r="AC8" s="487"/>
      <c r="AD8" s="482"/>
      <c r="AE8" s="482"/>
      <c r="AF8" s="482"/>
      <c r="AG8" s="482"/>
      <c r="AH8" s="482"/>
      <c r="AI8" s="482"/>
      <c r="AJ8" s="482"/>
      <c r="AK8" s="487">
        <f t="shared" si="7"/>
        <v>0</v>
      </c>
      <c r="AL8" s="487">
        <f t="shared" si="0"/>
        <v>0</v>
      </c>
      <c r="AM8" s="482"/>
      <c r="AN8" s="482"/>
      <c r="AO8" s="482"/>
      <c r="AP8" s="482"/>
      <c r="AQ8" s="482"/>
      <c r="AR8" s="482"/>
      <c r="AS8" s="482"/>
      <c r="AT8" s="482"/>
      <c r="AU8" s="487">
        <f t="shared" si="1"/>
        <v>0</v>
      </c>
      <c r="AV8" s="487"/>
      <c r="AW8" s="482"/>
      <c r="AX8" s="482"/>
      <c r="AY8" s="482"/>
      <c r="AZ8" s="482"/>
      <c r="BA8" s="482"/>
      <c r="BB8" s="482"/>
      <c r="BC8" s="482"/>
      <c r="BD8" s="487">
        <f t="shared" si="8"/>
        <v>0</v>
      </c>
      <c r="BE8" s="487">
        <f t="shared" si="9"/>
        <v>0</v>
      </c>
      <c r="BF8" s="487">
        <f t="shared" si="2"/>
        <v>1</v>
      </c>
      <c r="BG8" s="640"/>
    </row>
    <row r="9" spans="1:59" s="194" customFormat="1" ht="15.75">
      <c r="A9" s="632">
        <v>3</v>
      </c>
      <c r="B9" s="642" t="s">
        <v>387</v>
      </c>
      <c r="C9" s="488" t="s">
        <v>240</v>
      </c>
      <c r="D9" s="489"/>
      <c r="E9" s="489"/>
      <c r="F9" s="489"/>
      <c r="G9" s="489"/>
      <c r="H9" s="489"/>
      <c r="I9" s="489"/>
      <c r="J9" s="489"/>
      <c r="K9" s="489"/>
      <c r="L9" s="473"/>
      <c r="M9" s="490">
        <f t="shared" si="3"/>
        <v>0</v>
      </c>
      <c r="N9" s="490"/>
      <c r="O9" s="490"/>
      <c r="P9" s="490">
        <v>3</v>
      </c>
      <c r="Q9" s="489">
        <v>3</v>
      </c>
      <c r="R9" s="489">
        <v>3</v>
      </c>
      <c r="S9" s="489"/>
      <c r="T9" s="489"/>
      <c r="U9" s="489"/>
      <c r="V9" s="489"/>
      <c r="W9" s="491">
        <f>SUM(N9:V9)</f>
        <v>9</v>
      </c>
      <c r="X9" s="492">
        <f t="shared" si="5"/>
        <v>9</v>
      </c>
      <c r="Y9" s="493"/>
      <c r="Z9" s="493"/>
      <c r="AA9" s="489"/>
      <c r="AB9" s="494">
        <f t="shared" si="6"/>
        <v>0</v>
      </c>
      <c r="AC9" s="494"/>
      <c r="AD9" s="473"/>
      <c r="AE9" s="473"/>
      <c r="AF9" s="473"/>
      <c r="AG9" s="473"/>
      <c r="AH9" s="473"/>
      <c r="AI9" s="473"/>
      <c r="AJ9" s="489"/>
      <c r="AK9" s="494">
        <f t="shared" si="7"/>
        <v>0</v>
      </c>
      <c r="AL9" s="494">
        <f t="shared" si="0"/>
        <v>0</v>
      </c>
      <c r="AM9" s="473"/>
      <c r="AN9" s="473"/>
      <c r="AO9" s="473"/>
      <c r="AP9" s="473"/>
      <c r="AQ9" s="489"/>
      <c r="AR9" s="489"/>
      <c r="AS9" s="489"/>
      <c r="AT9" s="489"/>
      <c r="AU9" s="494">
        <f t="shared" si="1"/>
        <v>0</v>
      </c>
      <c r="AV9" s="494"/>
      <c r="AW9" s="473"/>
      <c r="AX9" s="473"/>
      <c r="AY9" s="473"/>
      <c r="AZ9" s="473"/>
      <c r="BA9" s="473"/>
      <c r="BB9" s="473"/>
      <c r="BC9" s="489"/>
      <c r="BD9" s="494">
        <f t="shared" si="8"/>
        <v>0</v>
      </c>
      <c r="BE9" s="494">
        <f t="shared" si="9"/>
        <v>0</v>
      </c>
      <c r="BF9" s="494">
        <f t="shared" si="2"/>
        <v>9</v>
      </c>
      <c r="BG9" s="644">
        <v>11</v>
      </c>
    </row>
    <row r="10" spans="1:59" s="194" customFormat="1" ht="16.5" thickBot="1">
      <c r="A10" s="641"/>
      <c r="B10" s="643"/>
      <c r="C10" s="495" t="s">
        <v>239</v>
      </c>
      <c r="D10" s="496"/>
      <c r="E10" s="496"/>
      <c r="F10" s="496"/>
      <c r="G10" s="496"/>
      <c r="H10" s="496"/>
      <c r="I10" s="496"/>
      <c r="J10" s="496"/>
      <c r="K10" s="496"/>
      <c r="L10" s="497"/>
      <c r="M10" s="498">
        <f t="shared" si="3"/>
        <v>0</v>
      </c>
      <c r="N10" s="498"/>
      <c r="O10" s="498"/>
      <c r="P10" s="498"/>
      <c r="Q10" s="496"/>
      <c r="R10" s="496">
        <v>1</v>
      </c>
      <c r="S10" s="496"/>
      <c r="T10" s="496"/>
      <c r="U10" s="496"/>
      <c r="V10" s="496"/>
      <c r="W10" s="499">
        <f>SUM(N10:V10)</f>
        <v>1</v>
      </c>
      <c r="X10" s="500">
        <f t="shared" si="5"/>
        <v>1</v>
      </c>
      <c r="Y10" s="501"/>
      <c r="Z10" s="501"/>
      <c r="AA10" s="496"/>
      <c r="AB10" s="502">
        <f t="shared" si="6"/>
        <v>0</v>
      </c>
      <c r="AC10" s="502"/>
      <c r="AD10" s="497"/>
      <c r="AE10" s="497"/>
      <c r="AF10" s="497"/>
      <c r="AG10" s="497">
        <v>1</v>
      </c>
      <c r="AH10" s="497"/>
      <c r="AI10" s="497"/>
      <c r="AJ10" s="496"/>
      <c r="AK10" s="502">
        <f t="shared" si="7"/>
        <v>1</v>
      </c>
      <c r="AL10" s="502">
        <f t="shared" si="0"/>
        <v>1</v>
      </c>
      <c r="AM10" s="497"/>
      <c r="AN10" s="497"/>
      <c r="AO10" s="497"/>
      <c r="AP10" s="497"/>
      <c r="AQ10" s="496"/>
      <c r="AR10" s="496"/>
      <c r="AS10" s="496"/>
      <c r="AT10" s="496"/>
      <c r="AU10" s="502">
        <f t="shared" si="1"/>
        <v>0</v>
      </c>
      <c r="AV10" s="502"/>
      <c r="AW10" s="497"/>
      <c r="AX10" s="497"/>
      <c r="AY10" s="497"/>
      <c r="AZ10" s="497"/>
      <c r="BA10" s="497"/>
      <c r="BB10" s="497"/>
      <c r="BC10" s="496"/>
      <c r="BD10" s="502">
        <f t="shared" si="8"/>
        <v>0</v>
      </c>
      <c r="BE10" s="502">
        <f t="shared" si="9"/>
        <v>0</v>
      </c>
      <c r="BF10" s="502">
        <f t="shared" si="2"/>
        <v>2</v>
      </c>
      <c r="BG10" s="645"/>
    </row>
    <row r="11" spans="1:59" s="194" customFormat="1" ht="16.5" thickBot="1">
      <c r="A11" s="503">
        <v>4</v>
      </c>
      <c r="B11" s="504" t="s">
        <v>247</v>
      </c>
      <c r="C11" s="505" t="s">
        <v>246</v>
      </c>
      <c r="D11" s="506"/>
      <c r="E11" s="506"/>
      <c r="F11" s="506"/>
      <c r="G11" s="506"/>
      <c r="H11" s="505"/>
      <c r="I11" s="505"/>
      <c r="J11" s="505"/>
      <c r="K11" s="505"/>
      <c r="L11" s="505"/>
      <c r="M11" s="507">
        <f t="shared" si="3"/>
        <v>0</v>
      </c>
      <c r="N11" s="507"/>
      <c r="O11" s="507"/>
      <c r="P11" s="507"/>
      <c r="Q11" s="508"/>
      <c r="R11" s="508"/>
      <c r="S11" s="508">
        <v>5</v>
      </c>
      <c r="T11" s="505">
        <v>5</v>
      </c>
      <c r="U11" s="505">
        <v>5</v>
      </c>
      <c r="V11" s="505">
        <v>5</v>
      </c>
      <c r="W11" s="509">
        <f t="shared" si="4"/>
        <v>20</v>
      </c>
      <c r="X11" s="510">
        <f t="shared" si="5"/>
        <v>20</v>
      </c>
      <c r="Y11" s="511"/>
      <c r="Z11" s="511"/>
      <c r="AA11" s="512"/>
      <c r="AB11" s="513">
        <f t="shared" si="6"/>
        <v>0</v>
      </c>
      <c r="AC11" s="513"/>
      <c r="AD11" s="505"/>
      <c r="AE11" s="505"/>
      <c r="AF11" s="505"/>
      <c r="AG11" s="505"/>
      <c r="AH11" s="505">
        <v>1</v>
      </c>
      <c r="AI11" s="505">
        <v>1</v>
      </c>
      <c r="AJ11" s="512"/>
      <c r="AK11" s="513">
        <f t="shared" si="7"/>
        <v>2</v>
      </c>
      <c r="AL11" s="513">
        <f t="shared" si="0"/>
        <v>2</v>
      </c>
      <c r="AM11" s="505"/>
      <c r="AN11" s="505"/>
      <c r="AO11" s="505"/>
      <c r="AP11" s="505"/>
      <c r="AQ11" s="512"/>
      <c r="AR11" s="512"/>
      <c r="AS11" s="512"/>
      <c r="AT11" s="512"/>
      <c r="AU11" s="513">
        <f t="shared" si="1"/>
        <v>0</v>
      </c>
      <c r="AV11" s="513"/>
      <c r="AW11" s="505"/>
      <c r="AX11" s="505"/>
      <c r="AY11" s="505"/>
      <c r="AZ11" s="505"/>
      <c r="BA11" s="505">
        <v>1</v>
      </c>
      <c r="BB11" s="505"/>
      <c r="BC11" s="512"/>
      <c r="BD11" s="513">
        <f t="shared" si="8"/>
        <v>1</v>
      </c>
      <c r="BE11" s="513">
        <f t="shared" si="9"/>
        <v>1</v>
      </c>
      <c r="BF11" s="513">
        <f t="shared" si="2"/>
        <v>23</v>
      </c>
      <c r="BG11" s="514">
        <v>23</v>
      </c>
    </row>
    <row r="12" spans="1:59" s="194" customFormat="1" ht="15.75">
      <c r="A12" s="632">
        <v>5</v>
      </c>
      <c r="B12" s="642" t="s">
        <v>183</v>
      </c>
      <c r="C12" s="473" t="s">
        <v>246</v>
      </c>
      <c r="D12" s="489"/>
      <c r="E12" s="489"/>
      <c r="F12" s="489"/>
      <c r="G12" s="489"/>
      <c r="H12" s="489"/>
      <c r="I12" s="489"/>
      <c r="J12" s="489"/>
      <c r="K12" s="489"/>
      <c r="L12" s="473"/>
      <c r="M12" s="490">
        <f t="shared" si="3"/>
        <v>0</v>
      </c>
      <c r="N12" s="490"/>
      <c r="O12" s="490">
        <v>5</v>
      </c>
      <c r="P12" s="490"/>
      <c r="Q12" s="489">
        <v>5</v>
      </c>
      <c r="R12" s="489">
        <v>5</v>
      </c>
      <c r="S12" s="489"/>
      <c r="T12" s="473"/>
      <c r="U12" s="473"/>
      <c r="V12" s="473"/>
      <c r="W12" s="491">
        <f t="shared" si="4"/>
        <v>15</v>
      </c>
      <c r="X12" s="492">
        <f t="shared" si="5"/>
        <v>15</v>
      </c>
      <c r="Y12" s="493"/>
      <c r="Z12" s="493"/>
      <c r="AA12" s="489"/>
      <c r="AB12" s="494">
        <f t="shared" si="6"/>
        <v>0</v>
      </c>
      <c r="AC12" s="494"/>
      <c r="AD12" s="473">
        <v>1</v>
      </c>
      <c r="AE12" s="473"/>
      <c r="AF12" s="473"/>
      <c r="AG12" s="473"/>
      <c r="AH12" s="473"/>
      <c r="AI12" s="473"/>
      <c r="AJ12" s="489"/>
      <c r="AK12" s="494">
        <f t="shared" si="7"/>
        <v>1</v>
      </c>
      <c r="AL12" s="494">
        <f t="shared" si="0"/>
        <v>1</v>
      </c>
      <c r="AM12" s="473"/>
      <c r="AN12" s="473"/>
      <c r="AO12" s="473"/>
      <c r="AP12" s="473"/>
      <c r="AQ12" s="489"/>
      <c r="AR12" s="489"/>
      <c r="AS12" s="489"/>
      <c r="AT12" s="489"/>
      <c r="AU12" s="494">
        <f t="shared" si="1"/>
        <v>0</v>
      </c>
      <c r="AV12" s="494"/>
      <c r="AW12" s="473"/>
      <c r="AX12" s="473"/>
      <c r="AY12" s="473"/>
      <c r="AZ12" s="473"/>
      <c r="BA12" s="473"/>
      <c r="BB12" s="473"/>
      <c r="BC12" s="489"/>
      <c r="BD12" s="494">
        <f t="shared" si="8"/>
        <v>0</v>
      </c>
      <c r="BE12" s="494">
        <f t="shared" si="9"/>
        <v>0</v>
      </c>
      <c r="BF12" s="494">
        <f t="shared" si="2"/>
        <v>16</v>
      </c>
      <c r="BG12" s="646">
        <v>27</v>
      </c>
    </row>
    <row r="13" spans="1:59" s="194" customFormat="1" ht="16.5" thickBot="1">
      <c r="A13" s="641"/>
      <c r="B13" s="643"/>
      <c r="C13" s="495" t="s">
        <v>245</v>
      </c>
      <c r="D13" s="496"/>
      <c r="E13" s="496"/>
      <c r="F13" s="496"/>
      <c r="G13" s="496">
        <v>1</v>
      </c>
      <c r="H13" s="496">
        <v>1</v>
      </c>
      <c r="I13" s="496"/>
      <c r="J13" s="496"/>
      <c r="K13" s="496"/>
      <c r="L13" s="497"/>
      <c r="M13" s="498">
        <f t="shared" si="3"/>
        <v>2</v>
      </c>
      <c r="N13" s="498">
        <v>2</v>
      </c>
      <c r="O13" s="498">
        <v>1</v>
      </c>
      <c r="P13" s="498">
        <v>1</v>
      </c>
      <c r="Q13" s="515">
        <v>1</v>
      </c>
      <c r="R13" s="496">
        <v>1</v>
      </c>
      <c r="S13" s="496"/>
      <c r="T13" s="497"/>
      <c r="U13" s="497"/>
      <c r="V13" s="497"/>
      <c r="W13" s="499">
        <f t="shared" si="4"/>
        <v>6</v>
      </c>
      <c r="X13" s="500">
        <f t="shared" si="5"/>
        <v>8</v>
      </c>
      <c r="Y13" s="501"/>
      <c r="Z13" s="501"/>
      <c r="AA13" s="496"/>
      <c r="AB13" s="502">
        <f t="shared" si="6"/>
        <v>0</v>
      </c>
      <c r="AC13" s="502"/>
      <c r="AD13" s="497">
        <v>1</v>
      </c>
      <c r="AE13" s="497"/>
      <c r="AF13" s="497">
        <v>1</v>
      </c>
      <c r="AG13" s="497">
        <v>1</v>
      </c>
      <c r="AH13" s="497"/>
      <c r="AI13" s="497"/>
      <c r="AJ13" s="496"/>
      <c r="AK13" s="502">
        <f t="shared" si="7"/>
        <v>3</v>
      </c>
      <c r="AL13" s="502">
        <f t="shared" si="0"/>
        <v>3</v>
      </c>
      <c r="AM13" s="497"/>
      <c r="AN13" s="497"/>
      <c r="AO13" s="497"/>
      <c r="AP13" s="497"/>
      <c r="AQ13" s="496"/>
      <c r="AR13" s="496"/>
      <c r="AS13" s="496"/>
      <c r="AT13" s="496"/>
      <c r="AU13" s="502">
        <f t="shared" si="1"/>
        <v>0</v>
      </c>
      <c r="AV13" s="502"/>
      <c r="AW13" s="497"/>
      <c r="AX13" s="497"/>
      <c r="AY13" s="497"/>
      <c r="AZ13" s="497"/>
      <c r="BA13" s="497"/>
      <c r="BB13" s="497"/>
      <c r="BC13" s="496"/>
      <c r="BD13" s="502">
        <f t="shared" si="8"/>
        <v>0</v>
      </c>
      <c r="BE13" s="502">
        <f t="shared" si="9"/>
        <v>0</v>
      </c>
      <c r="BF13" s="502">
        <f t="shared" si="2"/>
        <v>11</v>
      </c>
      <c r="BG13" s="647"/>
    </row>
    <row r="14" spans="1:59" s="194" customFormat="1" ht="15.75">
      <c r="A14" s="648">
        <v>6</v>
      </c>
      <c r="B14" s="651" t="s">
        <v>244</v>
      </c>
      <c r="C14" s="516" t="s">
        <v>240</v>
      </c>
      <c r="D14" s="517"/>
      <c r="E14" s="517"/>
      <c r="F14" s="517"/>
      <c r="G14" s="517"/>
      <c r="H14" s="517"/>
      <c r="I14" s="517"/>
      <c r="J14" s="517"/>
      <c r="K14" s="517"/>
      <c r="L14" s="516"/>
      <c r="M14" s="518">
        <f t="shared" si="3"/>
        <v>0</v>
      </c>
      <c r="N14" s="518">
        <v>3</v>
      </c>
      <c r="O14" s="518">
        <v>3</v>
      </c>
      <c r="P14" s="518"/>
      <c r="Q14" s="519"/>
      <c r="R14" s="519"/>
      <c r="S14" s="519">
        <v>3</v>
      </c>
      <c r="T14" s="517">
        <v>3</v>
      </c>
      <c r="U14" s="520">
        <v>3</v>
      </c>
      <c r="V14" s="517">
        <v>3</v>
      </c>
      <c r="W14" s="521">
        <f t="shared" si="4"/>
        <v>18</v>
      </c>
      <c r="X14" s="522">
        <f t="shared" si="5"/>
        <v>18</v>
      </c>
      <c r="Y14" s="523"/>
      <c r="Z14" s="523"/>
      <c r="AA14" s="517"/>
      <c r="AB14" s="524">
        <f t="shared" si="6"/>
        <v>0</v>
      </c>
      <c r="AC14" s="524"/>
      <c r="AD14" s="516"/>
      <c r="AE14" s="516"/>
      <c r="AF14" s="516"/>
      <c r="AG14" s="516"/>
      <c r="AH14" s="516"/>
      <c r="AI14" s="516"/>
      <c r="AJ14" s="517"/>
      <c r="AK14" s="524">
        <f t="shared" si="7"/>
        <v>0</v>
      </c>
      <c r="AL14" s="524">
        <f t="shared" si="0"/>
        <v>0</v>
      </c>
      <c r="AM14" s="516"/>
      <c r="AN14" s="516"/>
      <c r="AO14" s="516"/>
      <c r="AP14" s="516"/>
      <c r="AQ14" s="517"/>
      <c r="AR14" s="517"/>
      <c r="AS14" s="517"/>
      <c r="AT14" s="517"/>
      <c r="AU14" s="524">
        <f t="shared" si="1"/>
        <v>0</v>
      </c>
      <c r="AV14" s="524"/>
      <c r="AW14" s="516"/>
      <c r="AX14" s="516"/>
      <c r="AY14" s="516"/>
      <c r="AZ14" s="516"/>
      <c r="BA14" s="516"/>
      <c r="BB14" s="516"/>
      <c r="BC14" s="517"/>
      <c r="BD14" s="524">
        <f t="shared" si="8"/>
        <v>0</v>
      </c>
      <c r="BE14" s="524">
        <f t="shared" si="9"/>
        <v>0</v>
      </c>
      <c r="BF14" s="524">
        <f t="shared" si="2"/>
        <v>18</v>
      </c>
      <c r="BG14" s="654">
        <v>28</v>
      </c>
    </row>
    <row r="15" spans="1:59" s="194" customFormat="1" ht="15.75">
      <c r="A15" s="649"/>
      <c r="B15" s="652"/>
      <c r="C15" s="402" t="s">
        <v>239</v>
      </c>
      <c r="D15" s="195"/>
      <c r="E15" s="195"/>
      <c r="F15" s="195"/>
      <c r="G15" s="195"/>
      <c r="H15" s="195"/>
      <c r="I15" s="195"/>
      <c r="J15" s="195"/>
      <c r="K15" s="195"/>
      <c r="L15" s="196"/>
      <c r="M15" s="197">
        <f t="shared" si="3"/>
        <v>0</v>
      </c>
      <c r="N15" s="197"/>
      <c r="O15" s="197"/>
      <c r="P15" s="197"/>
      <c r="Q15" s="198"/>
      <c r="R15" s="198"/>
      <c r="S15" s="198"/>
      <c r="T15" s="195"/>
      <c r="U15" s="195"/>
      <c r="V15" s="195">
        <v>1</v>
      </c>
      <c r="W15" s="439">
        <f t="shared" si="4"/>
        <v>1</v>
      </c>
      <c r="X15" s="440">
        <f t="shared" si="5"/>
        <v>1</v>
      </c>
      <c r="Y15" s="199"/>
      <c r="Z15" s="199"/>
      <c r="AA15" s="195"/>
      <c r="AB15" s="200">
        <f t="shared" si="6"/>
        <v>0</v>
      </c>
      <c r="AC15" s="200"/>
      <c r="AD15" s="196"/>
      <c r="AE15" s="196"/>
      <c r="AF15" s="196"/>
      <c r="AG15" s="196"/>
      <c r="AH15" s="196"/>
      <c r="AI15" s="196"/>
      <c r="AJ15" s="195"/>
      <c r="AK15" s="200">
        <f t="shared" si="7"/>
        <v>0</v>
      </c>
      <c r="AL15" s="200">
        <f t="shared" si="0"/>
        <v>0</v>
      </c>
      <c r="AM15" s="196"/>
      <c r="AN15" s="196"/>
      <c r="AO15" s="196"/>
      <c r="AP15" s="196"/>
      <c r="AQ15" s="195"/>
      <c r="AR15" s="195"/>
      <c r="AS15" s="195"/>
      <c r="AT15" s="195"/>
      <c r="AU15" s="200">
        <f t="shared" si="1"/>
        <v>0</v>
      </c>
      <c r="AV15" s="200"/>
      <c r="AW15" s="196"/>
      <c r="AX15" s="196"/>
      <c r="AY15" s="196"/>
      <c r="AZ15" s="196"/>
      <c r="BA15" s="196"/>
      <c r="BB15" s="196"/>
      <c r="BC15" s="195"/>
      <c r="BD15" s="200">
        <f t="shared" si="8"/>
        <v>0</v>
      </c>
      <c r="BE15" s="200">
        <f t="shared" si="9"/>
        <v>0</v>
      </c>
      <c r="BF15" s="200">
        <f t="shared" si="2"/>
        <v>1</v>
      </c>
      <c r="BG15" s="655"/>
    </row>
    <row r="16" spans="1:59" s="194" customFormat="1" ht="15.75">
      <c r="A16" s="649"/>
      <c r="B16" s="652"/>
      <c r="C16" s="402" t="s">
        <v>243</v>
      </c>
      <c r="D16" s="195"/>
      <c r="E16" s="195"/>
      <c r="F16" s="195"/>
      <c r="G16" s="195"/>
      <c r="H16" s="195"/>
      <c r="I16" s="195"/>
      <c r="J16" s="195"/>
      <c r="K16" s="195"/>
      <c r="L16" s="196"/>
      <c r="M16" s="197">
        <f t="shared" si="3"/>
        <v>0</v>
      </c>
      <c r="N16" s="197"/>
      <c r="O16" s="197"/>
      <c r="P16" s="197"/>
      <c r="Q16" s="198"/>
      <c r="R16" s="198"/>
      <c r="S16" s="198"/>
      <c r="T16" s="195"/>
      <c r="U16" s="195"/>
      <c r="V16" s="195"/>
      <c r="W16" s="439">
        <f t="shared" si="4"/>
        <v>0</v>
      </c>
      <c r="X16" s="440">
        <f t="shared" si="5"/>
        <v>0</v>
      </c>
      <c r="Y16" s="199"/>
      <c r="Z16" s="199"/>
      <c r="AA16" s="195"/>
      <c r="AB16" s="200">
        <f t="shared" si="6"/>
        <v>0</v>
      </c>
      <c r="AC16" s="200"/>
      <c r="AD16" s="196"/>
      <c r="AE16" s="196"/>
      <c r="AF16" s="196"/>
      <c r="AG16" s="196"/>
      <c r="AH16" s="196"/>
      <c r="AI16" s="196"/>
      <c r="AJ16" s="195">
        <v>1</v>
      </c>
      <c r="AK16" s="200">
        <f t="shared" si="7"/>
        <v>1</v>
      </c>
      <c r="AL16" s="200">
        <f t="shared" si="0"/>
        <v>1</v>
      </c>
      <c r="AM16" s="196"/>
      <c r="AN16" s="196"/>
      <c r="AO16" s="196"/>
      <c r="AP16" s="196"/>
      <c r="AQ16" s="195"/>
      <c r="AR16" s="195"/>
      <c r="AS16" s="195"/>
      <c r="AT16" s="195"/>
      <c r="AU16" s="200">
        <f t="shared" si="1"/>
        <v>0</v>
      </c>
      <c r="AV16" s="200"/>
      <c r="AW16" s="196"/>
      <c r="AX16" s="196"/>
      <c r="AY16" s="196"/>
      <c r="AZ16" s="196"/>
      <c r="BA16" s="196"/>
      <c r="BB16" s="196"/>
      <c r="BC16" s="195"/>
      <c r="BD16" s="200">
        <f t="shared" si="8"/>
        <v>0</v>
      </c>
      <c r="BE16" s="200">
        <f t="shared" si="9"/>
        <v>0</v>
      </c>
      <c r="BF16" s="200">
        <f t="shared" si="2"/>
        <v>1</v>
      </c>
      <c r="BG16" s="655"/>
    </row>
    <row r="17" spans="1:59" s="194" customFormat="1" ht="16.5" thickBot="1">
      <c r="A17" s="650"/>
      <c r="B17" s="653"/>
      <c r="C17" s="525" t="s">
        <v>316</v>
      </c>
      <c r="D17" s="526"/>
      <c r="E17" s="526"/>
      <c r="F17" s="526"/>
      <c r="G17" s="526"/>
      <c r="H17" s="526"/>
      <c r="I17" s="526"/>
      <c r="J17" s="526"/>
      <c r="K17" s="526"/>
      <c r="L17" s="482"/>
      <c r="M17" s="527">
        <f t="shared" si="3"/>
        <v>0</v>
      </c>
      <c r="N17" s="527"/>
      <c r="O17" s="527"/>
      <c r="P17" s="527"/>
      <c r="Q17" s="484"/>
      <c r="R17" s="484"/>
      <c r="S17" s="484">
        <v>2</v>
      </c>
      <c r="T17" s="526">
        <v>2</v>
      </c>
      <c r="U17" s="526">
        <v>2</v>
      </c>
      <c r="V17" s="526">
        <v>2</v>
      </c>
      <c r="W17" s="528">
        <f t="shared" si="4"/>
        <v>8</v>
      </c>
      <c r="X17" s="529">
        <f t="shared" si="5"/>
        <v>8</v>
      </c>
      <c r="Y17" s="530"/>
      <c r="Z17" s="530"/>
      <c r="AA17" s="526"/>
      <c r="AB17" s="531">
        <f t="shared" si="6"/>
        <v>0</v>
      </c>
      <c r="AC17" s="531"/>
      <c r="AD17" s="482"/>
      <c r="AE17" s="482"/>
      <c r="AF17" s="482"/>
      <c r="AG17" s="482"/>
      <c r="AH17" s="482"/>
      <c r="AI17" s="482"/>
      <c r="AJ17" s="526"/>
      <c r="AK17" s="531">
        <f t="shared" si="7"/>
        <v>0</v>
      </c>
      <c r="AL17" s="531">
        <f t="shared" si="0"/>
        <v>0</v>
      </c>
      <c r="AM17" s="482"/>
      <c r="AN17" s="482"/>
      <c r="AO17" s="482"/>
      <c r="AP17" s="482"/>
      <c r="AQ17" s="526"/>
      <c r="AR17" s="526"/>
      <c r="AS17" s="526"/>
      <c r="AT17" s="526"/>
      <c r="AU17" s="531">
        <f t="shared" si="1"/>
        <v>0</v>
      </c>
      <c r="AV17" s="531"/>
      <c r="AW17" s="482"/>
      <c r="AX17" s="482"/>
      <c r="AY17" s="482"/>
      <c r="AZ17" s="482"/>
      <c r="BA17" s="482"/>
      <c r="BB17" s="482"/>
      <c r="BC17" s="526"/>
      <c r="BD17" s="531">
        <f t="shared" si="8"/>
        <v>0</v>
      </c>
      <c r="BE17" s="531">
        <f t="shared" si="9"/>
        <v>0</v>
      </c>
      <c r="BF17" s="531">
        <f t="shared" si="2"/>
        <v>8</v>
      </c>
      <c r="BG17" s="656"/>
    </row>
    <row r="18" spans="1:59" s="194" customFormat="1" ht="15.75">
      <c r="A18" s="632">
        <v>7</v>
      </c>
      <c r="B18" s="657" t="s">
        <v>388</v>
      </c>
      <c r="C18" s="488" t="s">
        <v>242</v>
      </c>
      <c r="D18" s="489"/>
      <c r="E18" s="489"/>
      <c r="F18" s="489"/>
      <c r="G18" s="489"/>
      <c r="H18" s="489"/>
      <c r="I18" s="489"/>
      <c r="J18" s="489"/>
      <c r="K18" s="489"/>
      <c r="L18" s="473"/>
      <c r="M18" s="490">
        <f t="shared" si="3"/>
        <v>0</v>
      </c>
      <c r="N18" s="490">
        <v>3</v>
      </c>
      <c r="O18" s="490">
        <v>3</v>
      </c>
      <c r="P18" s="490"/>
      <c r="Q18" s="475">
        <v>2</v>
      </c>
      <c r="R18" s="475">
        <v>2</v>
      </c>
      <c r="S18" s="475">
        <v>5</v>
      </c>
      <c r="T18" s="489"/>
      <c r="U18" s="489"/>
      <c r="V18" s="489"/>
      <c r="W18" s="491">
        <f t="shared" si="4"/>
        <v>15</v>
      </c>
      <c r="X18" s="492">
        <f t="shared" si="5"/>
        <v>15</v>
      </c>
      <c r="Y18" s="493"/>
      <c r="Z18" s="493"/>
      <c r="AA18" s="489"/>
      <c r="AB18" s="494">
        <f t="shared" si="6"/>
        <v>0</v>
      </c>
      <c r="AC18" s="494"/>
      <c r="AD18" s="473"/>
      <c r="AE18" s="473"/>
      <c r="AF18" s="473"/>
      <c r="AG18" s="473"/>
      <c r="AH18" s="473"/>
      <c r="AI18" s="473"/>
      <c r="AJ18" s="489"/>
      <c r="AK18" s="494">
        <f t="shared" si="7"/>
        <v>0</v>
      </c>
      <c r="AL18" s="494">
        <f t="shared" si="0"/>
        <v>0</v>
      </c>
      <c r="AM18" s="473"/>
      <c r="AN18" s="473"/>
      <c r="AO18" s="473"/>
      <c r="AP18" s="473"/>
      <c r="AQ18" s="489"/>
      <c r="AR18" s="489"/>
      <c r="AS18" s="489"/>
      <c r="AT18" s="489"/>
      <c r="AU18" s="494">
        <f t="shared" si="1"/>
        <v>0</v>
      </c>
      <c r="AV18" s="494"/>
      <c r="AW18" s="473"/>
      <c r="AX18" s="473"/>
      <c r="AY18" s="473"/>
      <c r="AZ18" s="473"/>
      <c r="BA18" s="473"/>
      <c r="BB18" s="473"/>
      <c r="BC18" s="489"/>
      <c r="BD18" s="494">
        <f t="shared" si="8"/>
        <v>0</v>
      </c>
      <c r="BE18" s="494">
        <f t="shared" si="9"/>
        <v>0</v>
      </c>
      <c r="BF18" s="494">
        <f t="shared" si="2"/>
        <v>15</v>
      </c>
      <c r="BG18" s="659">
        <v>26</v>
      </c>
    </row>
    <row r="19" spans="1:59" s="194" customFormat="1" ht="16.5" thickBot="1">
      <c r="A19" s="641"/>
      <c r="B19" s="658"/>
      <c r="C19" s="495" t="s">
        <v>241</v>
      </c>
      <c r="D19" s="496"/>
      <c r="E19" s="496"/>
      <c r="F19" s="496"/>
      <c r="G19" s="496"/>
      <c r="H19" s="496"/>
      <c r="I19" s="496"/>
      <c r="J19" s="496"/>
      <c r="K19" s="496"/>
      <c r="L19" s="497"/>
      <c r="M19" s="498">
        <f t="shared" si="3"/>
        <v>0</v>
      </c>
      <c r="N19" s="498">
        <v>2</v>
      </c>
      <c r="O19" s="498">
        <v>2</v>
      </c>
      <c r="P19" s="498"/>
      <c r="Q19" s="532">
        <v>3</v>
      </c>
      <c r="R19" s="532">
        <v>3</v>
      </c>
      <c r="S19" s="532"/>
      <c r="T19" s="496"/>
      <c r="U19" s="496"/>
      <c r="V19" s="496"/>
      <c r="W19" s="499">
        <f t="shared" si="4"/>
        <v>10</v>
      </c>
      <c r="X19" s="500">
        <f t="shared" si="5"/>
        <v>10</v>
      </c>
      <c r="Y19" s="501"/>
      <c r="Z19" s="501"/>
      <c r="AA19" s="496"/>
      <c r="AB19" s="502">
        <f t="shared" si="6"/>
        <v>0</v>
      </c>
      <c r="AC19" s="502"/>
      <c r="AD19" s="497"/>
      <c r="AE19" s="497"/>
      <c r="AF19" s="497"/>
      <c r="AG19" s="497">
        <v>1</v>
      </c>
      <c r="AH19" s="497"/>
      <c r="AI19" s="497"/>
      <c r="AJ19" s="496"/>
      <c r="AK19" s="502">
        <f t="shared" si="7"/>
        <v>1</v>
      </c>
      <c r="AL19" s="502">
        <f t="shared" si="0"/>
        <v>1</v>
      </c>
      <c r="AM19" s="497"/>
      <c r="AN19" s="497"/>
      <c r="AO19" s="497"/>
      <c r="AP19" s="497"/>
      <c r="AQ19" s="496"/>
      <c r="AR19" s="496"/>
      <c r="AS19" s="496"/>
      <c r="AT19" s="496"/>
      <c r="AU19" s="502">
        <f t="shared" si="1"/>
        <v>0</v>
      </c>
      <c r="AV19" s="502"/>
      <c r="AW19" s="497"/>
      <c r="AX19" s="497"/>
      <c r="AY19" s="497"/>
      <c r="AZ19" s="497"/>
      <c r="BA19" s="497"/>
      <c r="BB19" s="497"/>
      <c r="BC19" s="496"/>
      <c r="BD19" s="502">
        <f t="shared" si="8"/>
        <v>0</v>
      </c>
      <c r="BE19" s="502">
        <f t="shared" si="9"/>
        <v>0</v>
      </c>
      <c r="BF19" s="502">
        <f t="shared" si="2"/>
        <v>11</v>
      </c>
      <c r="BG19" s="660"/>
    </row>
    <row r="20" spans="1:59" s="194" customFormat="1" ht="16.5" thickBot="1">
      <c r="A20" s="503">
        <v>8</v>
      </c>
      <c r="B20" s="533" t="s">
        <v>317</v>
      </c>
      <c r="C20" s="534" t="s">
        <v>172</v>
      </c>
      <c r="D20" s="512"/>
      <c r="E20" s="512"/>
      <c r="F20" s="512">
        <v>3</v>
      </c>
      <c r="G20" s="512"/>
      <c r="H20" s="512"/>
      <c r="I20" s="512"/>
      <c r="J20" s="512"/>
      <c r="K20" s="512"/>
      <c r="L20" s="512"/>
      <c r="M20" s="507">
        <f t="shared" si="3"/>
        <v>3</v>
      </c>
      <c r="N20" s="507">
        <v>3</v>
      </c>
      <c r="O20" s="507"/>
      <c r="P20" s="507"/>
      <c r="Q20" s="508">
        <v>3</v>
      </c>
      <c r="R20" s="508"/>
      <c r="S20" s="508">
        <v>3</v>
      </c>
      <c r="T20" s="512">
        <v>3</v>
      </c>
      <c r="U20" s="512">
        <v>3</v>
      </c>
      <c r="V20" s="512">
        <v>3</v>
      </c>
      <c r="W20" s="509">
        <f t="shared" si="4"/>
        <v>18</v>
      </c>
      <c r="X20" s="510">
        <f t="shared" si="5"/>
        <v>21</v>
      </c>
      <c r="Y20" s="511"/>
      <c r="Z20" s="511"/>
      <c r="AA20" s="512"/>
      <c r="AB20" s="513">
        <f t="shared" si="6"/>
        <v>0</v>
      </c>
      <c r="AC20" s="513"/>
      <c r="AD20" s="505"/>
      <c r="AE20" s="505"/>
      <c r="AF20" s="505"/>
      <c r="AG20" s="505"/>
      <c r="AH20" s="505"/>
      <c r="AI20" s="505"/>
      <c r="AJ20" s="512"/>
      <c r="AK20" s="513">
        <f t="shared" si="7"/>
        <v>0</v>
      </c>
      <c r="AL20" s="513">
        <f t="shared" si="0"/>
        <v>0</v>
      </c>
      <c r="AM20" s="505"/>
      <c r="AN20" s="505"/>
      <c r="AO20" s="505"/>
      <c r="AP20" s="505"/>
      <c r="AQ20" s="512"/>
      <c r="AR20" s="512"/>
      <c r="AS20" s="512"/>
      <c r="AT20" s="512"/>
      <c r="AU20" s="513">
        <f t="shared" si="1"/>
        <v>0</v>
      </c>
      <c r="AV20" s="513"/>
      <c r="AW20" s="505"/>
      <c r="AX20" s="505"/>
      <c r="AY20" s="505">
        <v>1</v>
      </c>
      <c r="AZ20" s="505"/>
      <c r="BA20" s="505"/>
      <c r="BB20" s="505">
        <v>1</v>
      </c>
      <c r="BC20" s="512"/>
      <c r="BD20" s="513">
        <f t="shared" si="8"/>
        <v>2</v>
      </c>
      <c r="BE20" s="513">
        <f t="shared" si="9"/>
        <v>2</v>
      </c>
      <c r="BF20" s="502">
        <f t="shared" si="2"/>
        <v>23</v>
      </c>
      <c r="BG20" s="514">
        <v>23</v>
      </c>
    </row>
    <row r="21" spans="1:59" s="194" customFormat="1" ht="15.75">
      <c r="A21" s="632">
        <v>9</v>
      </c>
      <c r="B21" s="642" t="s">
        <v>238</v>
      </c>
      <c r="C21" s="488" t="s">
        <v>177</v>
      </c>
      <c r="D21" s="489"/>
      <c r="E21" s="489"/>
      <c r="F21" s="489"/>
      <c r="G21" s="489"/>
      <c r="H21" s="489"/>
      <c r="I21" s="489"/>
      <c r="J21" s="489"/>
      <c r="K21" s="489"/>
      <c r="L21" s="489"/>
      <c r="M21" s="490">
        <f t="shared" si="3"/>
        <v>0</v>
      </c>
      <c r="N21" s="490">
        <v>2</v>
      </c>
      <c r="O21" s="490">
        <v>2</v>
      </c>
      <c r="P21" s="490">
        <v>1</v>
      </c>
      <c r="Q21" s="475">
        <v>1</v>
      </c>
      <c r="R21" s="475">
        <v>1</v>
      </c>
      <c r="S21" s="475">
        <v>2</v>
      </c>
      <c r="T21" s="489">
        <v>2</v>
      </c>
      <c r="U21" s="489">
        <v>1</v>
      </c>
      <c r="V21" s="489">
        <v>1</v>
      </c>
      <c r="W21" s="491">
        <f t="shared" si="4"/>
        <v>13</v>
      </c>
      <c r="X21" s="492">
        <f t="shared" si="5"/>
        <v>13</v>
      </c>
      <c r="Y21" s="493"/>
      <c r="Z21" s="493"/>
      <c r="AA21" s="489"/>
      <c r="AB21" s="494">
        <f t="shared" si="6"/>
        <v>0</v>
      </c>
      <c r="AC21" s="494"/>
      <c r="AD21" s="473"/>
      <c r="AE21" s="473"/>
      <c r="AF21" s="473"/>
      <c r="AG21" s="473"/>
      <c r="AH21" s="473"/>
      <c r="AI21" s="473"/>
      <c r="AJ21" s="489"/>
      <c r="AK21" s="494">
        <f t="shared" si="7"/>
        <v>0</v>
      </c>
      <c r="AL21" s="494">
        <f t="shared" si="0"/>
        <v>0</v>
      </c>
      <c r="AM21" s="473"/>
      <c r="AN21" s="473"/>
      <c r="AO21" s="473"/>
      <c r="AP21" s="473"/>
      <c r="AQ21" s="489"/>
      <c r="AR21" s="489"/>
      <c r="AS21" s="489"/>
      <c r="AT21" s="489"/>
      <c r="AU21" s="494">
        <f t="shared" si="1"/>
        <v>0</v>
      </c>
      <c r="AV21" s="494"/>
      <c r="AW21" s="473"/>
      <c r="AX21" s="473"/>
      <c r="AY21" s="473"/>
      <c r="AZ21" s="473"/>
      <c r="BA21" s="473"/>
      <c r="BB21" s="473"/>
      <c r="BC21" s="489"/>
      <c r="BD21" s="494">
        <f t="shared" si="8"/>
        <v>0</v>
      </c>
      <c r="BE21" s="494">
        <f t="shared" si="9"/>
        <v>0</v>
      </c>
      <c r="BF21" s="494">
        <f t="shared" si="2"/>
        <v>13</v>
      </c>
      <c r="BG21" s="661">
        <v>18.5</v>
      </c>
    </row>
    <row r="22" spans="1:59" s="194" customFormat="1" ht="16.5" thickBot="1">
      <c r="A22" s="641"/>
      <c r="B22" s="643"/>
      <c r="C22" s="495" t="s">
        <v>155</v>
      </c>
      <c r="D22" s="496">
        <v>0.5</v>
      </c>
      <c r="E22" s="496"/>
      <c r="F22" s="496"/>
      <c r="G22" s="496"/>
      <c r="H22" s="496"/>
      <c r="I22" s="496">
        <v>1</v>
      </c>
      <c r="J22" s="496">
        <v>1</v>
      </c>
      <c r="K22" s="496">
        <v>1</v>
      </c>
      <c r="L22" s="496">
        <v>1</v>
      </c>
      <c r="M22" s="498">
        <f t="shared" si="3"/>
        <v>4</v>
      </c>
      <c r="N22" s="498"/>
      <c r="O22" s="498"/>
      <c r="P22" s="498"/>
      <c r="Q22" s="532"/>
      <c r="R22" s="532"/>
      <c r="S22" s="532"/>
      <c r="T22" s="496"/>
      <c r="U22" s="496">
        <v>1</v>
      </c>
      <c r="V22" s="496"/>
      <c r="W22" s="499">
        <f t="shared" si="4"/>
        <v>1</v>
      </c>
      <c r="X22" s="500">
        <f t="shared" si="5"/>
        <v>5</v>
      </c>
      <c r="Y22" s="501"/>
      <c r="Z22" s="501"/>
      <c r="AA22" s="496"/>
      <c r="AB22" s="502">
        <f t="shared" si="6"/>
        <v>0</v>
      </c>
      <c r="AC22" s="502"/>
      <c r="AD22" s="497"/>
      <c r="AE22" s="497"/>
      <c r="AF22" s="497"/>
      <c r="AG22" s="497"/>
      <c r="AH22" s="497"/>
      <c r="AI22" s="497"/>
      <c r="AJ22" s="496"/>
      <c r="AK22" s="502">
        <f t="shared" si="7"/>
        <v>0</v>
      </c>
      <c r="AL22" s="502">
        <f t="shared" si="0"/>
        <v>0</v>
      </c>
      <c r="AM22" s="497"/>
      <c r="AN22" s="497"/>
      <c r="AO22" s="497"/>
      <c r="AP22" s="497"/>
      <c r="AQ22" s="496"/>
      <c r="AR22" s="496"/>
      <c r="AS22" s="496"/>
      <c r="AT22" s="496"/>
      <c r="AU22" s="502">
        <f t="shared" si="1"/>
        <v>0</v>
      </c>
      <c r="AV22" s="502"/>
      <c r="AW22" s="497"/>
      <c r="AX22" s="497"/>
      <c r="AY22" s="497"/>
      <c r="AZ22" s="497"/>
      <c r="BA22" s="497"/>
      <c r="BB22" s="497"/>
      <c r="BC22" s="496"/>
      <c r="BD22" s="502">
        <f t="shared" si="8"/>
        <v>0</v>
      </c>
      <c r="BE22" s="502">
        <f t="shared" si="9"/>
        <v>0</v>
      </c>
      <c r="BF22" s="502">
        <f t="shared" si="2"/>
        <v>5</v>
      </c>
      <c r="BG22" s="662"/>
    </row>
    <row r="23" spans="1:59" s="194" customFormat="1" ht="16.5" thickBot="1">
      <c r="A23" s="535">
        <v>10</v>
      </c>
      <c r="B23" s="536" t="s">
        <v>318</v>
      </c>
      <c r="C23" s="537" t="s">
        <v>172</v>
      </c>
      <c r="D23" s="538"/>
      <c r="E23" s="538"/>
      <c r="F23" s="538"/>
      <c r="G23" s="538"/>
      <c r="H23" s="538"/>
      <c r="I23" s="538"/>
      <c r="J23" s="538"/>
      <c r="K23" s="538"/>
      <c r="L23" s="539"/>
      <c r="M23" s="540">
        <f t="shared" si="3"/>
        <v>0</v>
      </c>
      <c r="N23" s="540">
        <v>3</v>
      </c>
      <c r="O23" s="540">
        <v>3</v>
      </c>
      <c r="P23" s="540">
        <v>3</v>
      </c>
      <c r="Q23" s="541"/>
      <c r="R23" s="541">
        <v>3</v>
      </c>
      <c r="S23" s="541"/>
      <c r="T23" s="538"/>
      <c r="U23" s="538"/>
      <c r="V23" s="538"/>
      <c r="W23" s="542">
        <f t="shared" si="4"/>
        <v>12</v>
      </c>
      <c r="X23" s="543">
        <f t="shared" si="5"/>
        <v>12</v>
      </c>
      <c r="Y23" s="544"/>
      <c r="Z23" s="544"/>
      <c r="AA23" s="538"/>
      <c r="AB23" s="545">
        <f t="shared" si="6"/>
        <v>0</v>
      </c>
      <c r="AC23" s="545"/>
      <c r="AD23" s="539"/>
      <c r="AE23" s="539"/>
      <c r="AF23" s="539"/>
      <c r="AG23" s="539"/>
      <c r="AH23" s="539"/>
      <c r="AI23" s="539"/>
      <c r="AJ23" s="538"/>
      <c r="AK23" s="545">
        <f t="shared" si="7"/>
        <v>0</v>
      </c>
      <c r="AL23" s="545">
        <f t="shared" si="0"/>
        <v>0</v>
      </c>
      <c r="AM23" s="539"/>
      <c r="AN23" s="539"/>
      <c r="AO23" s="539"/>
      <c r="AP23" s="539"/>
      <c r="AQ23" s="538"/>
      <c r="AR23" s="538"/>
      <c r="AS23" s="538"/>
      <c r="AT23" s="538"/>
      <c r="AU23" s="545">
        <f t="shared" si="1"/>
        <v>0</v>
      </c>
      <c r="AV23" s="545"/>
      <c r="AW23" s="539"/>
      <c r="AX23" s="539"/>
      <c r="AY23" s="539"/>
      <c r="AZ23" s="539"/>
      <c r="BA23" s="539"/>
      <c r="BB23" s="539"/>
      <c r="BC23" s="538"/>
      <c r="BD23" s="545">
        <f t="shared" si="8"/>
        <v>0</v>
      </c>
      <c r="BE23" s="545">
        <f t="shared" si="9"/>
        <v>0</v>
      </c>
      <c r="BF23" s="545">
        <f t="shared" si="2"/>
        <v>12</v>
      </c>
      <c r="BG23" s="546">
        <v>12</v>
      </c>
    </row>
    <row r="24" spans="1:59" s="194" customFormat="1" ht="16.5" thickBot="1">
      <c r="A24" s="462">
        <v>11</v>
      </c>
      <c r="B24" s="547" t="s">
        <v>237</v>
      </c>
      <c r="C24" s="548" t="s">
        <v>389</v>
      </c>
      <c r="D24" s="549"/>
      <c r="E24" s="549"/>
      <c r="F24" s="549"/>
      <c r="G24" s="549"/>
      <c r="H24" s="550"/>
      <c r="I24" s="550">
        <v>17</v>
      </c>
      <c r="J24" s="550"/>
      <c r="K24" s="550"/>
      <c r="L24" s="464"/>
      <c r="M24" s="465">
        <f t="shared" si="3"/>
        <v>17</v>
      </c>
      <c r="N24" s="465"/>
      <c r="O24" s="465"/>
      <c r="P24" s="465"/>
      <c r="Q24" s="466"/>
      <c r="R24" s="466"/>
      <c r="S24" s="466"/>
      <c r="T24" s="550"/>
      <c r="U24" s="550"/>
      <c r="V24" s="550"/>
      <c r="W24" s="468">
        <f t="shared" si="4"/>
        <v>0</v>
      </c>
      <c r="X24" s="469">
        <f t="shared" si="5"/>
        <v>17</v>
      </c>
      <c r="Y24" s="470"/>
      <c r="Z24" s="470"/>
      <c r="AA24" s="550"/>
      <c r="AB24" s="471">
        <f t="shared" si="6"/>
        <v>0</v>
      </c>
      <c r="AC24" s="471"/>
      <c r="AD24" s="464"/>
      <c r="AE24" s="464"/>
      <c r="AF24" s="464"/>
      <c r="AG24" s="464"/>
      <c r="AH24" s="464"/>
      <c r="AI24" s="464"/>
      <c r="AJ24" s="550"/>
      <c r="AK24" s="471">
        <f t="shared" si="7"/>
        <v>0</v>
      </c>
      <c r="AL24" s="471">
        <f t="shared" si="0"/>
        <v>0</v>
      </c>
      <c r="AM24" s="464"/>
      <c r="AN24" s="464"/>
      <c r="AO24" s="464"/>
      <c r="AP24" s="464"/>
      <c r="AQ24" s="550">
        <v>2</v>
      </c>
      <c r="AR24" s="550"/>
      <c r="AS24" s="550"/>
      <c r="AT24" s="550"/>
      <c r="AU24" s="471">
        <f t="shared" si="1"/>
        <v>2</v>
      </c>
      <c r="AV24" s="471"/>
      <c r="AW24" s="464"/>
      <c r="AX24" s="464"/>
      <c r="AY24" s="464"/>
      <c r="AZ24" s="464"/>
      <c r="BA24" s="464"/>
      <c r="BB24" s="464"/>
      <c r="BC24" s="550"/>
      <c r="BD24" s="471">
        <f t="shared" si="8"/>
        <v>0</v>
      </c>
      <c r="BE24" s="471">
        <f t="shared" si="9"/>
        <v>2</v>
      </c>
      <c r="BF24" s="471">
        <f t="shared" si="2"/>
        <v>19</v>
      </c>
      <c r="BG24" s="551">
        <v>19</v>
      </c>
    </row>
    <row r="25" spans="1:59" s="194" customFormat="1" ht="15.75">
      <c r="A25" s="632">
        <v>12</v>
      </c>
      <c r="B25" s="642" t="s">
        <v>236</v>
      </c>
      <c r="C25" s="488" t="s">
        <v>390</v>
      </c>
      <c r="D25" s="489"/>
      <c r="E25" s="489"/>
      <c r="F25" s="489"/>
      <c r="G25" s="489"/>
      <c r="H25" s="489"/>
      <c r="I25" s="489"/>
      <c r="J25" s="489"/>
      <c r="K25" s="489"/>
      <c r="L25" s="489">
        <v>18</v>
      </c>
      <c r="M25" s="490">
        <f t="shared" si="3"/>
        <v>18</v>
      </c>
      <c r="N25" s="490"/>
      <c r="O25" s="490"/>
      <c r="P25" s="490"/>
      <c r="Q25" s="475"/>
      <c r="R25" s="475"/>
      <c r="S25" s="475"/>
      <c r="T25" s="489"/>
      <c r="U25" s="489"/>
      <c r="V25" s="489"/>
      <c r="W25" s="491">
        <f t="shared" si="4"/>
        <v>0</v>
      </c>
      <c r="X25" s="492">
        <f t="shared" si="5"/>
        <v>18</v>
      </c>
      <c r="Y25" s="493"/>
      <c r="Z25" s="493"/>
      <c r="AA25" s="489"/>
      <c r="AB25" s="494">
        <f t="shared" si="6"/>
        <v>0</v>
      </c>
      <c r="AC25" s="494"/>
      <c r="AD25" s="473"/>
      <c r="AE25" s="473"/>
      <c r="AF25" s="473"/>
      <c r="AG25" s="473"/>
      <c r="AH25" s="473"/>
      <c r="AI25" s="473"/>
      <c r="AJ25" s="489"/>
      <c r="AK25" s="494">
        <f t="shared" si="7"/>
        <v>0</v>
      </c>
      <c r="AL25" s="494">
        <f t="shared" si="0"/>
        <v>0</v>
      </c>
      <c r="AM25" s="473"/>
      <c r="AN25" s="473"/>
      <c r="AO25" s="473"/>
      <c r="AP25" s="473"/>
      <c r="AQ25" s="489"/>
      <c r="AR25" s="489"/>
      <c r="AS25" s="489"/>
      <c r="AT25" s="489"/>
      <c r="AU25" s="494">
        <f t="shared" si="1"/>
        <v>0</v>
      </c>
      <c r="AV25" s="494"/>
      <c r="AW25" s="473"/>
      <c r="AX25" s="473"/>
      <c r="AY25" s="473"/>
      <c r="AZ25" s="473"/>
      <c r="BA25" s="473"/>
      <c r="BB25" s="473"/>
      <c r="BC25" s="489"/>
      <c r="BD25" s="494">
        <f t="shared" si="8"/>
        <v>0</v>
      </c>
      <c r="BE25" s="494">
        <f t="shared" si="9"/>
        <v>0</v>
      </c>
      <c r="BF25" s="494">
        <f t="shared" si="2"/>
        <v>18</v>
      </c>
      <c r="BG25" s="646">
        <v>20</v>
      </c>
    </row>
    <row r="26" spans="1:59" s="194" customFormat="1" ht="16.5" thickBot="1">
      <c r="A26" s="641"/>
      <c r="B26" s="643"/>
      <c r="C26" s="495" t="s">
        <v>285</v>
      </c>
      <c r="D26" s="496"/>
      <c r="E26" s="496"/>
      <c r="F26" s="496"/>
      <c r="G26" s="496"/>
      <c r="H26" s="496"/>
      <c r="I26" s="496"/>
      <c r="J26" s="496"/>
      <c r="K26" s="496"/>
      <c r="L26" s="496">
        <v>1</v>
      </c>
      <c r="M26" s="498">
        <f t="shared" si="3"/>
        <v>1</v>
      </c>
      <c r="N26" s="498"/>
      <c r="O26" s="498"/>
      <c r="P26" s="498"/>
      <c r="Q26" s="532"/>
      <c r="R26" s="532"/>
      <c r="S26" s="532"/>
      <c r="T26" s="496"/>
      <c r="U26" s="496"/>
      <c r="V26" s="496"/>
      <c r="W26" s="499"/>
      <c r="X26" s="500">
        <f t="shared" si="5"/>
        <v>1</v>
      </c>
      <c r="Y26" s="501"/>
      <c r="Z26" s="501"/>
      <c r="AA26" s="496"/>
      <c r="AB26" s="502">
        <f t="shared" si="6"/>
        <v>0</v>
      </c>
      <c r="AC26" s="502"/>
      <c r="AD26" s="497"/>
      <c r="AE26" s="497"/>
      <c r="AF26" s="497"/>
      <c r="AG26" s="497"/>
      <c r="AH26" s="497"/>
      <c r="AI26" s="497"/>
      <c r="AJ26" s="496"/>
      <c r="AK26" s="502">
        <f t="shared" si="7"/>
        <v>0</v>
      </c>
      <c r="AL26" s="502">
        <f t="shared" si="0"/>
        <v>0</v>
      </c>
      <c r="AM26" s="497"/>
      <c r="AN26" s="497"/>
      <c r="AO26" s="497"/>
      <c r="AP26" s="497"/>
      <c r="AQ26" s="496"/>
      <c r="AR26" s="496"/>
      <c r="AS26" s="496"/>
      <c r="AT26" s="496">
        <v>1</v>
      </c>
      <c r="AU26" s="502">
        <f t="shared" si="1"/>
        <v>1</v>
      </c>
      <c r="AV26" s="502"/>
      <c r="AW26" s="497"/>
      <c r="AX26" s="497"/>
      <c r="AY26" s="497"/>
      <c r="AZ26" s="497"/>
      <c r="BA26" s="497"/>
      <c r="BB26" s="497"/>
      <c r="BC26" s="496"/>
      <c r="BD26" s="502">
        <f t="shared" si="8"/>
        <v>0</v>
      </c>
      <c r="BE26" s="502">
        <f t="shared" si="9"/>
        <v>1</v>
      </c>
      <c r="BF26" s="502">
        <f t="shared" si="2"/>
        <v>2</v>
      </c>
      <c r="BG26" s="647"/>
    </row>
    <row r="27" spans="1:59" s="194" customFormat="1" ht="16.5" thickBot="1">
      <c r="A27" s="552">
        <v>13</v>
      </c>
      <c r="B27" s="463" t="s">
        <v>277</v>
      </c>
      <c r="C27" s="548" t="s">
        <v>281</v>
      </c>
      <c r="D27" s="550"/>
      <c r="E27" s="550">
        <v>19</v>
      </c>
      <c r="F27" s="550"/>
      <c r="G27" s="550"/>
      <c r="H27" s="550"/>
      <c r="I27" s="550"/>
      <c r="J27" s="550"/>
      <c r="K27" s="550"/>
      <c r="L27" s="550"/>
      <c r="M27" s="465">
        <f t="shared" si="3"/>
        <v>19</v>
      </c>
      <c r="N27" s="465"/>
      <c r="O27" s="465"/>
      <c r="P27" s="465"/>
      <c r="Q27" s="466"/>
      <c r="R27" s="466"/>
      <c r="S27" s="466"/>
      <c r="T27" s="550"/>
      <c r="U27" s="550"/>
      <c r="V27" s="550"/>
      <c r="W27" s="468">
        <f t="shared" si="4"/>
        <v>0</v>
      </c>
      <c r="X27" s="469">
        <f t="shared" si="5"/>
        <v>19</v>
      </c>
      <c r="Y27" s="470"/>
      <c r="Z27" s="470"/>
      <c r="AA27" s="550"/>
      <c r="AB27" s="471">
        <f t="shared" si="6"/>
        <v>0</v>
      </c>
      <c r="AC27" s="471"/>
      <c r="AD27" s="464"/>
      <c r="AE27" s="464"/>
      <c r="AF27" s="464"/>
      <c r="AG27" s="464"/>
      <c r="AH27" s="464"/>
      <c r="AI27" s="464"/>
      <c r="AJ27" s="550"/>
      <c r="AK27" s="471">
        <f t="shared" si="7"/>
        <v>0</v>
      </c>
      <c r="AL27" s="471">
        <f t="shared" si="0"/>
        <v>0</v>
      </c>
      <c r="AM27" s="464">
        <v>2</v>
      </c>
      <c r="AN27" s="464"/>
      <c r="AO27" s="464"/>
      <c r="AP27" s="464"/>
      <c r="AQ27" s="550"/>
      <c r="AR27" s="550"/>
      <c r="AS27" s="550"/>
      <c r="AT27" s="550"/>
      <c r="AU27" s="471">
        <f t="shared" si="1"/>
        <v>2</v>
      </c>
      <c r="AV27" s="471"/>
      <c r="AW27" s="464"/>
      <c r="AX27" s="464"/>
      <c r="AY27" s="464"/>
      <c r="AZ27" s="464"/>
      <c r="BA27" s="464"/>
      <c r="BB27" s="464"/>
      <c r="BC27" s="550"/>
      <c r="BD27" s="471">
        <f t="shared" si="8"/>
        <v>0</v>
      </c>
      <c r="BE27" s="471">
        <f t="shared" si="9"/>
        <v>2</v>
      </c>
      <c r="BF27" s="471">
        <f t="shared" si="2"/>
        <v>21</v>
      </c>
      <c r="BG27" s="551">
        <v>21</v>
      </c>
    </row>
    <row r="28" spans="1:59" s="194" customFormat="1" ht="15.75">
      <c r="A28" s="632">
        <v>14</v>
      </c>
      <c r="B28" s="642" t="s">
        <v>235</v>
      </c>
      <c r="C28" s="488" t="s">
        <v>234</v>
      </c>
      <c r="D28" s="553"/>
      <c r="E28" s="553"/>
      <c r="F28" s="553">
        <v>4</v>
      </c>
      <c r="G28" s="553">
        <v>2</v>
      </c>
      <c r="H28" s="489"/>
      <c r="I28" s="489"/>
      <c r="J28" s="489"/>
      <c r="K28" s="489"/>
      <c r="L28" s="473"/>
      <c r="M28" s="490">
        <f t="shared" si="3"/>
        <v>6</v>
      </c>
      <c r="N28" s="490"/>
      <c r="O28" s="490"/>
      <c r="P28" s="490"/>
      <c r="Q28" s="475"/>
      <c r="R28" s="475">
        <v>3</v>
      </c>
      <c r="S28" s="475">
        <v>3</v>
      </c>
      <c r="T28" s="489">
        <v>3</v>
      </c>
      <c r="U28" s="489">
        <v>2</v>
      </c>
      <c r="V28" s="489">
        <v>2</v>
      </c>
      <c r="W28" s="491">
        <f t="shared" si="4"/>
        <v>13</v>
      </c>
      <c r="X28" s="492">
        <f t="shared" si="5"/>
        <v>19</v>
      </c>
      <c r="Y28" s="493"/>
      <c r="Z28" s="493"/>
      <c r="AA28" s="489"/>
      <c r="AB28" s="494">
        <f t="shared" si="6"/>
        <v>0</v>
      </c>
      <c r="AC28" s="494"/>
      <c r="AD28" s="473"/>
      <c r="AE28" s="473"/>
      <c r="AF28" s="473"/>
      <c r="AG28" s="473"/>
      <c r="AH28" s="473"/>
      <c r="AI28" s="473"/>
      <c r="AJ28" s="489"/>
      <c r="AK28" s="494">
        <f t="shared" si="7"/>
        <v>0</v>
      </c>
      <c r="AL28" s="494">
        <f t="shared" si="0"/>
        <v>0</v>
      </c>
      <c r="AM28" s="473"/>
      <c r="AN28" s="473"/>
      <c r="AO28" s="473"/>
      <c r="AP28" s="473"/>
      <c r="AQ28" s="489"/>
      <c r="AR28" s="489"/>
      <c r="AS28" s="489"/>
      <c r="AT28" s="489"/>
      <c r="AU28" s="494">
        <f t="shared" si="1"/>
        <v>0</v>
      </c>
      <c r="AV28" s="494"/>
      <c r="AW28" s="473"/>
      <c r="AX28" s="473"/>
      <c r="AY28" s="473"/>
      <c r="AZ28" s="473"/>
      <c r="BA28" s="473"/>
      <c r="BB28" s="473"/>
      <c r="BC28" s="489"/>
      <c r="BD28" s="494">
        <f t="shared" si="8"/>
        <v>0</v>
      </c>
      <c r="BE28" s="494">
        <f t="shared" si="9"/>
        <v>0</v>
      </c>
      <c r="BF28" s="494">
        <f t="shared" si="2"/>
        <v>19</v>
      </c>
      <c r="BG28" s="659">
        <v>29</v>
      </c>
    </row>
    <row r="29" spans="1:59" s="194" customFormat="1" ht="15.75">
      <c r="A29" s="633"/>
      <c r="B29" s="652"/>
      <c r="C29" s="402" t="s">
        <v>233</v>
      </c>
      <c r="D29" s="201"/>
      <c r="E29" s="201"/>
      <c r="F29" s="201"/>
      <c r="G29" s="201"/>
      <c r="H29" s="195"/>
      <c r="I29" s="195"/>
      <c r="J29" s="195"/>
      <c r="K29" s="195"/>
      <c r="L29" s="196"/>
      <c r="M29" s="197">
        <f t="shared" si="3"/>
        <v>0</v>
      </c>
      <c r="N29" s="197"/>
      <c r="O29" s="197"/>
      <c r="P29" s="197"/>
      <c r="Q29" s="198"/>
      <c r="R29" s="198"/>
      <c r="S29" s="198"/>
      <c r="T29" s="195">
        <v>2</v>
      </c>
      <c r="U29" s="195">
        <v>3</v>
      </c>
      <c r="V29" s="195">
        <v>3</v>
      </c>
      <c r="W29" s="439">
        <f t="shared" si="4"/>
        <v>8</v>
      </c>
      <c r="X29" s="440">
        <f t="shared" si="5"/>
        <v>8</v>
      </c>
      <c r="Y29" s="199"/>
      <c r="Z29" s="199"/>
      <c r="AA29" s="195"/>
      <c r="AB29" s="200">
        <f t="shared" si="6"/>
        <v>0</v>
      </c>
      <c r="AC29" s="200"/>
      <c r="AD29" s="196"/>
      <c r="AE29" s="196"/>
      <c r="AF29" s="196"/>
      <c r="AG29" s="196"/>
      <c r="AH29" s="196"/>
      <c r="AI29" s="196"/>
      <c r="AJ29" s="195"/>
      <c r="AK29" s="200">
        <f t="shared" si="7"/>
        <v>0</v>
      </c>
      <c r="AL29" s="200">
        <f t="shared" si="0"/>
        <v>0</v>
      </c>
      <c r="AM29" s="196"/>
      <c r="AN29" s="196"/>
      <c r="AO29" s="196"/>
      <c r="AP29" s="196"/>
      <c r="AQ29" s="195"/>
      <c r="AR29" s="195"/>
      <c r="AS29" s="195"/>
      <c r="AT29" s="195"/>
      <c r="AU29" s="200">
        <f t="shared" si="1"/>
        <v>0</v>
      </c>
      <c r="AV29" s="200"/>
      <c r="AW29" s="196"/>
      <c r="AX29" s="196"/>
      <c r="AY29" s="195"/>
      <c r="AZ29" s="195"/>
      <c r="BA29" s="195"/>
      <c r="BB29" s="195"/>
      <c r="BC29" s="196"/>
      <c r="BD29" s="200">
        <f t="shared" si="8"/>
        <v>0</v>
      </c>
      <c r="BE29" s="200">
        <f t="shared" si="9"/>
        <v>0</v>
      </c>
      <c r="BF29" s="200">
        <f t="shared" si="2"/>
        <v>8</v>
      </c>
      <c r="BG29" s="655"/>
    </row>
    <row r="30" spans="1:59" s="194" customFormat="1" ht="16.5" thickBot="1">
      <c r="A30" s="641"/>
      <c r="B30" s="643"/>
      <c r="C30" s="495" t="s">
        <v>285</v>
      </c>
      <c r="D30" s="554"/>
      <c r="E30" s="554"/>
      <c r="F30" s="554"/>
      <c r="G30" s="554"/>
      <c r="H30" s="496"/>
      <c r="I30" s="496"/>
      <c r="J30" s="496"/>
      <c r="K30" s="496"/>
      <c r="L30" s="497"/>
      <c r="M30" s="498">
        <f t="shared" si="3"/>
        <v>0</v>
      </c>
      <c r="N30" s="498"/>
      <c r="O30" s="498"/>
      <c r="P30" s="498"/>
      <c r="Q30" s="532"/>
      <c r="R30" s="532"/>
      <c r="S30" s="532">
        <v>2</v>
      </c>
      <c r="T30" s="496"/>
      <c r="U30" s="496"/>
      <c r="V30" s="496"/>
      <c r="W30" s="499">
        <f>SUM(N30:V30)</f>
        <v>2</v>
      </c>
      <c r="X30" s="500">
        <f t="shared" si="5"/>
        <v>2</v>
      </c>
      <c r="Y30" s="501"/>
      <c r="Z30" s="501"/>
      <c r="AA30" s="496"/>
      <c r="AB30" s="502">
        <f t="shared" si="6"/>
        <v>0</v>
      </c>
      <c r="AC30" s="502"/>
      <c r="AD30" s="497"/>
      <c r="AE30" s="497"/>
      <c r="AF30" s="497"/>
      <c r="AG30" s="497"/>
      <c r="AH30" s="497"/>
      <c r="AI30" s="497"/>
      <c r="AJ30" s="496"/>
      <c r="AK30" s="502">
        <f>SUM(AC30:AJ30)</f>
        <v>0</v>
      </c>
      <c r="AL30" s="502">
        <f t="shared" si="0"/>
        <v>0</v>
      </c>
      <c r="AM30" s="497"/>
      <c r="AN30" s="497"/>
      <c r="AO30" s="497"/>
      <c r="AP30" s="497"/>
      <c r="AQ30" s="496"/>
      <c r="AR30" s="496"/>
      <c r="AS30" s="496"/>
      <c r="AT30" s="496"/>
      <c r="AU30" s="502">
        <f>SUM(AM30:AT30)</f>
        <v>0</v>
      </c>
      <c r="AV30" s="502"/>
      <c r="AW30" s="497"/>
      <c r="AX30" s="497"/>
      <c r="AY30" s="496"/>
      <c r="AZ30" s="496"/>
      <c r="BA30" s="496"/>
      <c r="BB30" s="496"/>
      <c r="BC30" s="497"/>
      <c r="BD30" s="502">
        <f t="shared" si="8"/>
        <v>0</v>
      </c>
      <c r="BE30" s="502">
        <f t="shared" si="9"/>
        <v>0</v>
      </c>
      <c r="BF30" s="502">
        <f t="shared" si="2"/>
        <v>2</v>
      </c>
      <c r="BG30" s="660"/>
    </row>
    <row r="31" spans="1:59" s="194" customFormat="1" ht="16.5" thickBot="1">
      <c r="A31" s="555">
        <v>15</v>
      </c>
      <c r="B31" s="556" t="s">
        <v>232</v>
      </c>
      <c r="C31" s="534" t="s">
        <v>225</v>
      </c>
      <c r="D31" s="512"/>
      <c r="E31" s="512">
        <v>2</v>
      </c>
      <c r="F31" s="512">
        <v>4</v>
      </c>
      <c r="G31" s="512">
        <v>2</v>
      </c>
      <c r="H31" s="512">
        <v>2</v>
      </c>
      <c r="I31" s="512">
        <v>2</v>
      </c>
      <c r="J31" s="512">
        <v>2</v>
      </c>
      <c r="K31" s="512">
        <v>2</v>
      </c>
      <c r="L31" s="512">
        <v>2</v>
      </c>
      <c r="M31" s="507">
        <f t="shared" si="3"/>
        <v>18</v>
      </c>
      <c r="N31" s="507"/>
      <c r="O31" s="507"/>
      <c r="P31" s="507"/>
      <c r="Q31" s="508"/>
      <c r="R31" s="508"/>
      <c r="S31" s="508"/>
      <c r="T31" s="512">
        <v>3</v>
      </c>
      <c r="U31" s="512"/>
      <c r="V31" s="512"/>
      <c r="W31" s="509">
        <f t="shared" si="4"/>
        <v>3</v>
      </c>
      <c r="X31" s="510">
        <f t="shared" si="5"/>
        <v>21</v>
      </c>
      <c r="Y31" s="505"/>
      <c r="Z31" s="505"/>
      <c r="AA31" s="512"/>
      <c r="AB31" s="513">
        <f t="shared" si="6"/>
        <v>0</v>
      </c>
      <c r="AC31" s="513"/>
      <c r="AD31" s="505"/>
      <c r="AE31" s="505"/>
      <c r="AF31" s="505">
        <v>1</v>
      </c>
      <c r="AG31" s="505"/>
      <c r="AH31" s="505"/>
      <c r="AI31" s="505"/>
      <c r="AJ31" s="512"/>
      <c r="AK31" s="513">
        <f t="shared" si="7"/>
        <v>1</v>
      </c>
      <c r="AL31" s="513">
        <f t="shared" si="0"/>
        <v>1</v>
      </c>
      <c r="AM31" s="505"/>
      <c r="AN31" s="505"/>
      <c r="AO31" s="505"/>
      <c r="AP31" s="505"/>
      <c r="AQ31" s="512"/>
      <c r="AR31" s="512"/>
      <c r="AS31" s="512"/>
      <c r="AT31" s="512"/>
      <c r="AU31" s="513">
        <f t="shared" si="1"/>
        <v>0</v>
      </c>
      <c r="AV31" s="513"/>
      <c r="AW31" s="505"/>
      <c r="AX31" s="505"/>
      <c r="AY31" s="505"/>
      <c r="AZ31" s="505">
        <v>1</v>
      </c>
      <c r="BA31" s="505"/>
      <c r="BB31" s="505"/>
      <c r="BC31" s="512"/>
      <c r="BD31" s="513">
        <f t="shared" si="8"/>
        <v>1</v>
      </c>
      <c r="BE31" s="513">
        <f t="shared" si="9"/>
        <v>1</v>
      </c>
      <c r="BF31" s="513">
        <f t="shared" si="2"/>
        <v>23</v>
      </c>
      <c r="BG31" s="557">
        <v>23</v>
      </c>
    </row>
    <row r="32" spans="1:59" s="194" customFormat="1" ht="15.75">
      <c r="A32" s="632">
        <v>16</v>
      </c>
      <c r="B32" s="657" t="s">
        <v>231</v>
      </c>
      <c r="C32" s="488" t="s">
        <v>230</v>
      </c>
      <c r="D32" s="489"/>
      <c r="E32" s="489"/>
      <c r="F32" s="489"/>
      <c r="G32" s="489"/>
      <c r="H32" s="489"/>
      <c r="I32" s="489"/>
      <c r="J32" s="489"/>
      <c r="K32" s="489"/>
      <c r="L32" s="473"/>
      <c r="M32" s="490">
        <f t="shared" si="3"/>
        <v>0</v>
      </c>
      <c r="N32" s="490">
        <v>2</v>
      </c>
      <c r="O32" s="490">
        <v>2</v>
      </c>
      <c r="P32" s="490">
        <v>2</v>
      </c>
      <c r="Q32" s="489">
        <v>2</v>
      </c>
      <c r="R32" s="489">
        <v>2</v>
      </c>
      <c r="S32" s="489"/>
      <c r="T32" s="489"/>
      <c r="U32" s="489"/>
      <c r="V32" s="489"/>
      <c r="W32" s="491">
        <f t="shared" si="4"/>
        <v>10</v>
      </c>
      <c r="X32" s="492">
        <f t="shared" si="5"/>
        <v>10</v>
      </c>
      <c r="Y32" s="493"/>
      <c r="Z32" s="493"/>
      <c r="AA32" s="489"/>
      <c r="AB32" s="494">
        <f t="shared" si="6"/>
        <v>0</v>
      </c>
      <c r="AC32" s="494">
        <v>1</v>
      </c>
      <c r="AD32" s="473">
        <v>1</v>
      </c>
      <c r="AE32" s="473">
        <v>1</v>
      </c>
      <c r="AF32" s="473"/>
      <c r="AG32" s="473"/>
      <c r="AH32" s="473"/>
      <c r="AI32" s="473"/>
      <c r="AJ32" s="489"/>
      <c r="AK32" s="494">
        <f t="shared" si="7"/>
        <v>3</v>
      </c>
      <c r="AL32" s="494">
        <f t="shared" si="0"/>
        <v>3</v>
      </c>
      <c r="AM32" s="473"/>
      <c r="AN32" s="473"/>
      <c r="AO32" s="473"/>
      <c r="AP32" s="473"/>
      <c r="AQ32" s="489"/>
      <c r="AR32" s="489"/>
      <c r="AS32" s="489"/>
      <c r="AT32" s="489"/>
      <c r="AU32" s="494">
        <f t="shared" si="1"/>
        <v>0</v>
      </c>
      <c r="AV32" s="494"/>
      <c r="AW32" s="473"/>
      <c r="AX32" s="473"/>
      <c r="AY32" s="473"/>
      <c r="AZ32" s="473"/>
      <c r="BA32" s="473"/>
      <c r="BB32" s="473"/>
      <c r="BC32" s="489"/>
      <c r="BD32" s="494">
        <f t="shared" si="8"/>
        <v>0</v>
      </c>
      <c r="BE32" s="494">
        <f t="shared" si="9"/>
        <v>0</v>
      </c>
      <c r="BF32" s="558">
        <f t="shared" si="2"/>
        <v>13</v>
      </c>
      <c r="BG32" s="665">
        <v>27</v>
      </c>
    </row>
    <row r="33" spans="1:59" s="194" customFormat="1" ht="15.75">
      <c r="A33" s="633"/>
      <c r="B33" s="663"/>
      <c r="C33" s="402" t="s">
        <v>229</v>
      </c>
      <c r="D33" s="195"/>
      <c r="E33" s="195"/>
      <c r="F33" s="195"/>
      <c r="G33" s="195"/>
      <c r="H33" s="195"/>
      <c r="I33" s="195"/>
      <c r="J33" s="195"/>
      <c r="K33" s="195"/>
      <c r="L33" s="196"/>
      <c r="M33" s="197">
        <f t="shared" si="3"/>
        <v>0</v>
      </c>
      <c r="N33" s="197"/>
      <c r="O33" s="197"/>
      <c r="P33" s="197">
        <v>2</v>
      </c>
      <c r="Q33" s="195">
        <v>2</v>
      </c>
      <c r="R33" s="195">
        <v>2</v>
      </c>
      <c r="S33" s="195"/>
      <c r="T33" s="195"/>
      <c r="U33" s="195">
        <v>2</v>
      </c>
      <c r="V33" s="195">
        <v>2</v>
      </c>
      <c r="W33" s="439">
        <f t="shared" si="4"/>
        <v>10</v>
      </c>
      <c r="X33" s="440">
        <f t="shared" si="5"/>
        <v>10</v>
      </c>
      <c r="Y33" s="196"/>
      <c r="Z33" s="196"/>
      <c r="AA33" s="195"/>
      <c r="AB33" s="200">
        <f t="shared" si="6"/>
        <v>0</v>
      </c>
      <c r="AC33" s="200"/>
      <c r="AD33" s="196"/>
      <c r="AE33" s="196"/>
      <c r="AF33" s="196"/>
      <c r="AG33" s="196"/>
      <c r="AH33" s="196"/>
      <c r="AI33" s="196"/>
      <c r="AJ33" s="195"/>
      <c r="AK33" s="200">
        <f t="shared" ref="AK33:AK50" si="10">SUM(AC33:AJ33)</f>
        <v>0</v>
      </c>
      <c r="AL33" s="200">
        <f t="shared" si="0"/>
        <v>0</v>
      </c>
      <c r="AM33" s="196"/>
      <c r="AN33" s="196"/>
      <c r="AO33" s="196"/>
      <c r="AP33" s="196"/>
      <c r="AQ33" s="195"/>
      <c r="AR33" s="195"/>
      <c r="AS33" s="195"/>
      <c r="AT33" s="195"/>
      <c r="AU33" s="200">
        <f t="shared" si="1"/>
        <v>0</v>
      </c>
      <c r="AV33" s="200"/>
      <c r="AW33" s="196"/>
      <c r="AX33" s="196"/>
      <c r="AY33" s="196"/>
      <c r="AZ33" s="196"/>
      <c r="BA33" s="196"/>
      <c r="BB33" s="196"/>
      <c r="BC33" s="195"/>
      <c r="BD33" s="200">
        <f t="shared" si="8"/>
        <v>0</v>
      </c>
      <c r="BE33" s="200">
        <f t="shared" si="9"/>
        <v>0</v>
      </c>
      <c r="BF33" s="559">
        <f t="shared" si="2"/>
        <v>10</v>
      </c>
      <c r="BG33" s="666"/>
    </row>
    <row r="34" spans="1:59" s="194" customFormat="1" ht="16.5" thickBot="1">
      <c r="A34" s="634"/>
      <c r="B34" s="664"/>
      <c r="C34" s="525" t="s">
        <v>155</v>
      </c>
      <c r="D34" s="526"/>
      <c r="E34" s="526"/>
      <c r="F34" s="526"/>
      <c r="G34" s="526"/>
      <c r="H34" s="526"/>
      <c r="I34" s="526"/>
      <c r="J34" s="526"/>
      <c r="K34" s="526"/>
      <c r="L34" s="526"/>
      <c r="M34" s="527">
        <f t="shared" si="3"/>
        <v>0</v>
      </c>
      <c r="N34" s="527"/>
      <c r="O34" s="527"/>
      <c r="P34" s="527"/>
      <c r="Q34" s="526"/>
      <c r="R34" s="526">
        <v>1</v>
      </c>
      <c r="S34" s="526">
        <v>1</v>
      </c>
      <c r="T34" s="560">
        <v>1</v>
      </c>
      <c r="U34" s="526"/>
      <c r="V34" s="526">
        <v>1</v>
      </c>
      <c r="W34" s="528">
        <f t="shared" si="4"/>
        <v>4</v>
      </c>
      <c r="X34" s="529">
        <f t="shared" si="5"/>
        <v>4</v>
      </c>
      <c r="Y34" s="482"/>
      <c r="Z34" s="482"/>
      <c r="AA34" s="526"/>
      <c r="AB34" s="531">
        <f t="shared" si="6"/>
        <v>0</v>
      </c>
      <c r="AC34" s="531"/>
      <c r="AD34" s="482"/>
      <c r="AE34" s="482"/>
      <c r="AF34" s="482"/>
      <c r="AG34" s="482"/>
      <c r="AH34" s="482"/>
      <c r="AI34" s="482"/>
      <c r="AJ34" s="526"/>
      <c r="AK34" s="531">
        <f t="shared" si="10"/>
        <v>0</v>
      </c>
      <c r="AL34" s="531">
        <f t="shared" si="0"/>
        <v>0</v>
      </c>
      <c r="AM34" s="482"/>
      <c r="AN34" s="482"/>
      <c r="AO34" s="482"/>
      <c r="AP34" s="482"/>
      <c r="AQ34" s="526"/>
      <c r="AR34" s="526"/>
      <c r="AS34" s="526"/>
      <c r="AT34" s="526"/>
      <c r="AU34" s="531">
        <f t="shared" si="1"/>
        <v>0</v>
      </c>
      <c r="AV34" s="531"/>
      <c r="AW34" s="482"/>
      <c r="AX34" s="482"/>
      <c r="AY34" s="482"/>
      <c r="AZ34" s="482"/>
      <c r="BA34" s="482"/>
      <c r="BB34" s="482"/>
      <c r="BC34" s="526"/>
      <c r="BD34" s="531">
        <f t="shared" si="8"/>
        <v>0</v>
      </c>
      <c r="BE34" s="531">
        <f t="shared" si="9"/>
        <v>0</v>
      </c>
      <c r="BF34" s="561">
        <f t="shared" si="2"/>
        <v>4</v>
      </c>
      <c r="BG34" s="667"/>
    </row>
    <row r="35" spans="1:59" s="194" customFormat="1" ht="15.75">
      <c r="A35" s="668">
        <v>17</v>
      </c>
      <c r="B35" s="642" t="s">
        <v>278</v>
      </c>
      <c r="C35" s="488" t="s">
        <v>228</v>
      </c>
      <c r="D35" s="489"/>
      <c r="E35" s="489"/>
      <c r="F35" s="489"/>
      <c r="G35" s="489"/>
      <c r="H35" s="489"/>
      <c r="I35" s="489"/>
      <c r="J35" s="489"/>
      <c r="K35" s="489"/>
      <c r="L35" s="473"/>
      <c r="M35" s="490">
        <f t="shared" si="3"/>
        <v>0</v>
      </c>
      <c r="N35" s="490"/>
      <c r="O35" s="490"/>
      <c r="P35" s="490">
        <v>3</v>
      </c>
      <c r="Q35" s="489"/>
      <c r="R35" s="489"/>
      <c r="S35" s="489"/>
      <c r="T35" s="489">
        <v>5</v>
      </c>
      <c r="U35" s="489">
        <v>5</v>
      </c>
      <c r="V35" s="489">
        <v>5</v>
      </c>
      <c r="W35" s="491">
        <f t="shared" si="4"/>
        <v>18</v>
      </c>
      <c r="X35" s="492">
        <f t="shared" si="5"/>
        <v>18</v>
      </c>
      <c r="Y35" s="473"/>
      <c r="Z35" s="473"/>
      <c r="AA35" s="489"/>
      <c r="AB35" s="494">
        <f t="shared" si="6"/>
        <v>0</v>
      </c>
      <c r="AC35" s="494"/>
      <c r="AD35" s="473"/>
      <c r="AE35" s="473"/>
      <c r="AF35" s="473"/>
      <c r="AG35" s="473"/>
      <c r="AH35" s="473"/>
      <c r="AI35" s="473"/>
      <c r="AJ35" s="553"/>
      <c r="AK35" s="494">
        <f t="shared" si="10"/>
        <v>0</v>
      </c>
      <c r="AL35" s="494">
        <f t="shared" si="0"/>
        <v>0</v>
      </c>
      <c r="AM35" s="473"/>
      <c r="AN35" s="473"/>
      <c r="AO35" s="473"/>
      <c r="AP35" s="473"/>
      <c r="AQ35" s="489"/>
      <c r="AR35" s="489"/>
      <c r="AS35" s="489"/>
      <c r="AT35" s="489"/>
      <c r="AU35" s="494">
        <f t="shared" si="1"/>
        <v>0</v>
      </c>
      <c r="AV35" s="494"/>
      <c r="AW35" s="473"/>
      <c r="AX35" s="473"/>
      <c r="AY35" s="473"/>
      <c r="AZ35" s="473"/>
      <c r="BA35" s="473"/>
      <c r="BB35" s="473"/>
      <c r="BC35" s="489"/>
      <c r="BD35" s="494">
        <f t="shared" si="8"/>
        <v>0</v>
      </c>
      <c r="BE35" s="494">
        <f t="shared" si="9"/>
        <v>0</v>
      </c>
      <c r="BF35" s="494">
        <f t="shared" si="2"/>
        <v>18</v>
      </c>
      <c r="BG35" s="659">
        <v>21</v>
      </c>
    </row>
    <row r="36" spans="1:59" s="194" customFormat="1" ht="16.5" thickBot="1">
      <c r="A36" s="669"/>
      <c r="B36" s="643"/>
      <c r="C36" s="495" t="s">
        <v>227</v>
      </c>
      <c r="D36" s="496"/>
      <c r="E36" s="496"/>
      <c r="F36" s="496"/>
      <c r="G36" s="496"/>
      <c r="H36" s="496"/>
      <c r="I36" s="496"/>
      <c r="J36" s="496"/>
      <c r="K36" s="496"/>
      <c r="L36" s="497"/>
      <c r="M36" s="498">
        <f t="shared" si="3"/>
        <v>0</v>
      </c>
      <c r="N36" s="498"/>
      <c r="O36" s="498"/>
      <c r="P36" s="498">
        <v>2</v>
      </c>
      <c r="Q36" s="532"/>
      <c r="R36" s="532"/>
      <c r="S36" s="532"/>
      <c r="T36" s="496"/>
      <c r="U36" s="496"/>
      <c r="V36" s="496"/>
      <c r="W36" s="499">
        <f t="shared" si="4"/>
        <v>2</v>
      </c>
      <c r="X36" s="500">
        <f t="shared" si="5"/>
        <v>2</v>
      </c>
      <c r="Y36" s="497"/>
      <c r="Z36" s="497"/>
      <c r="AA36" s="496"/>
      <c r="AB36" s="502">
        <f t="shared" si="6"/>
        <v>0</v>
      </c>
      <c r="AC36" s="502"/>
      <c r="AD36" s="497"/>
      <c r="AE36" s="497"/>
      <c r="AF36" s="497"/>
      <c r="AG36" s="497"/>
      <c r="AH36" s="497"/>
      <c r="AI36" s="497"/>
      <c r="AJ36" s="554"/>
      <c r="AK36" s="502">
        <f t="shared" si="10"/>
        <v>0</v>
      </c>
      <c r="AL36" s="502">
        <f t="shared" si="0"/>
        <v>0</v>
      </c>
      <c r="AM36" s="497"/>
      <c r="AN36" s="497"/>
      <c r="AO36" s="497"/>
      <c r="AP36" s="497"/>
      <c r="AQ36" s="496"/>
      <c r="AR36" s="496"/>
      <c r="AS36" s="496"/>
      <c r="AT36" s="496"/>
      <c r="AU36" s="502">
        <f t="shared" si="1"/>
        <v>0</v>
      </c>
      <c r="AV36" s="502"/>
      <c r="AW36" s="497"/>
      <c r="AX36" s="497"/>
      <c r="AY36" s="497"/>
      <c r="AZ36" s="497"/>
      <c r="BA36" s="497"/>
      <c r="BB36" s="497"/>
      <c r="BC36" s="496">
        <v>1</v>
      </c>
      <c r="BD36" s="502">
        <f t="shared" si="8"/>
        <v>1</v>
      </c>
      <c r="BE36" s="502">
        <f t="shared" si="9"/>
        <v>1</v>
      </c>
      <c r="BF36" s="502">
        <f t="shared" si="2"/>
        <v>3</v>
      </c>
      <c r="BG36" s="660"/>
    </row>
    <row r="37" spans="1:59" s="194" customFormat="1" ht="16.5" thickBot="1">
      <c r="A37" s="562">
        <v>18</v>
      </c>
      <c r="B37" s="563" t="s">
        <v>226</v>
      </c>
      <c r="C37" s="488" t="s">
        <v>225</v>
      </c>
      <c r="D37" s="489"/>
      <c r="E37" s="489"/>
      <c r="F37" s="489"/>
      <c r="G37" s="489"/>
      <c r="H37" s="489"/>
      <c r="I37" s="489"/>
      <c r="J37" s="489"/>
      <c r="K37" s="489"/>
      <c r="L37" s="489"/>
      <c r="M37" s="490">
        <f t="shared" si="3"/>
        <v>0</v>
      </c>
      <c r="N37" s="490">
        <v>6</v>
      </c>
      <c r="O37" s="490">
        <v>3</v>
      </c>
      <c r="P37" s="490">
        <v>3</v>
      </c>
      <c r="Q37" s="475">
        <v>3</v>
      </c>
      <c r="R37" s="475">
        <v>3</v>
      </c>
      <c r="S37" s="475">
        <v>3</v>
      </c>
      <c r="T37" s="553"/>
      <c r="U37" s="489">
        <v>3</v>
      </c>
      <c r="V37" s="489">
        <v>3</v>
      </c>
      <c r="W37" s="491">
        <f t="shared" si="4"/>
        <v>27</v>
      </c>
      <c r="X37" s="492">
        <f t="shared" si="5"/>
        <v>27</v>
      </c>
      <c r="Y37" s="473"/>
      <c r="Z37" s="473"/>
      <c r="AA37" s="489"/>
      <c r="AB37" s="494">
        <f t="shared" si="6"/>
        <v>0</v>
      </c>
      <c r="AC37" s="494"/>
      <c r="AD37" s="473"/>
      <c r="AE37" s="473"/>
      <c r="AF37" s="473"/>
      <c r="AG37" s="473"/>
      <c r="AH37" s="473"/>
      <c r="AI37" s="473"/>
      <c r="AJ37" s="489"/>
      <c r="AK37" s="494">
        <f t="shared" si="10"/>
        <v>0</v>
      </c>
      <c r="AL37" s="494">
        <f t="shared" si="0"/>
        <v>0</v>
      </c>
      <c r="AM37" s="473"/>
      <c r="AN37" s="473"/>
      <c r="AO37" s="473"/>
      <c r="AP37" s="473"/>
      <c r="AQ37" s="489"/>
      <c r="AR37" s="489"/>
      <c r="AS37" s="489"/>
      <c r="AT37" s="489"/>
      <c r="AU37" s="494">
        <f t="shared" si="1"/>
        <v>0</v>
      </c>
      <c r="AV37" s="494"/>
      <c r="AW37" s="473"/>
      <c r="AX37" s="473"/>
      <c r="AY37" s="473"/>
      <c r="AZ37" s="473"/>
      <c r="BA37" s="473"/>
      <c r="BB37" s="473"/>
      <c r="BC37" s="489"/>
      <c r="BD37" s="494">
        <f t="shared" si="8"/>
        <v>0</v>
      </c>
      <c r="BE37" s="494">
        <f t="shared" si="9"/>
        <v>0</v>
      </c>
      <c r="BF37" s="494">
        <f t="shared" si="2"/>
        <v>27</v>
      </c>
      <c r="BG37" s="564">
        <v>27</v>
      </c>
    </row>
    <row r="38" spans="1:59" s="194" customFormat="1" ht="15.75">
      <c r="A38" s="632">
        <v>19</v>
      </c>
      <c r="B38" s="642" t="s">
        <v>224</v>
      </c>
      <c r="C38" s="488" t="s">
        <v>223</v>
      </c>
      <c r="D38" s="489"/>
      <c r="E38" s="489" t="s">
        <v>43</v>
      </c>
      <c r="F38" s="489"/>
      <c r="G38" s="489"/>
      <c r="H38" s="489"/>
      <c r="I38" s="489">
        <v>2</v>
      </c>
      <c r="J38" s="489">
        <v>3</v>
      </c>
      <c r="K38" s="489">
        <v>3</v>
      </c>
      <c r="L38" s="489">
        <v>4</v>
      </c>
      <c r="M38" s="490">
        <f t="shared" si="3"/>
        <v>12</v>
      </c>
      <c r="N38" s="490"/>
      <c r="O38" s="490"/>
      <c r="P38" s="490"/>
      <c r="Q38" s="489"/>
      <c r="R38" s="489"/>
      <c r="S38" s="489"/>
      <c r="T38" s="553"/>
      <c r="U38" s="489"/>
      <c r="V38" s="489"/>
      <c r="W38" s="491">
        <f t="shared" si="4"/>
        <v>0</v>
      </c>
      <c r="X38" s="492">
        <f t="shared" si="5"/>
        <v>12</v>
      </c>
      <c r="Y38" s="473"/>
      <c r="Z38" s="473"/>
      <c r="AA38" s="489"/>
      <c r="AB38" s="494">
        <f t="shared" ref="AB38:AB50" si="11">SUM(Y38:AA38)</f>
        <v>0</v>
      </c>
      <c r="AC38" s="494"/>
      <c r="AD38" s="473"/>
      <c r="AE38" s="473"/>
      <c r="AF38" s="473"/>
      <c r="AG38" s="473"/>
      <c r="AH38" s="473"/>
      <c r="AI38" s="473"/>
      <c r="AJ38" s="489"/>
      <c r="AK38" s="494">
        <f t="shared" si="10"/>
        <v>0</v>
      </c>
      <c r="AL38" s="494">
        <f t="shared" si="0"/>
        <v>0</v>
      </c>
      <c r="AM38" s="473"/>
      <c r="AN38" s="473"/>
      <c r="AO38" s="473"/>
      <c r="AP38" s="473"/>
      <c r="AQ38" s="489"/>
      <c r="AR38" s="489"/>
      <c r="AS38" s="489"/>
      <c r="AT38" s="489"/>
      <c r="AU38" s="494">
        <f t="shared" si="1"/>
        <v>0</v>
      </c>
      <c r="AV38" s="494"/>
      <c r="AW38" s="473"/>
      <c r="AX38" s="473"/>
      <c r="AY38" s="473"/>
      <c r="AZ38" s="473"/>
      <c r="BA38" s="473"/>
      <c r="BB38" s="473"/>
      <c r="BC38" s="489"/>
      <c r="BD38" s="494">
        <f t="shared" si="8"/>
        <v>0</v>
      </c>
      <c r="BE38" s="494">
        <f t="shared" si="9"/>
        <v>0</v>
      </c>
      <c r="BF38" s="494">
        <f t="shared" si="2"/>
        <v>12</v>
      </c>
      <c r="BG38" s="659">
        <v>27</v>
      </c>
    </row>
    <row r="39" spans="1:59" s="194" customFormat="1" ht="16.5" thickBot="1">
      <c r="A39" s="641"/>
      <c r="B39" s="643"/>
      <c r="C39" s="495" t="s">
        <v>319</v>
      </c>
      <c r="D39" s="496"/>
      <c r="E39" s="496"/>
      <c r="F39" s="496"/>
      <c r="G39" s="496"/>
      <c r="H39" s="496"/>
      <c r="I39" s="496"/>
      <c r="J39" s="496"/>
      <c r="K39" s="496"/>
      <c r="L39" s="496"/>
      <c r="M39" s="498">
        <f t="shared" si="3"/>
        <v>0</v>
      </c>
      <c r="N39" s="498">
        <v>6</v>
      </c>
      <c r="O39" s="498">
        <v>3</v>
      </c>
      <c r="P39" s="498">
        <v>3</v>
      </c>
      <c r="Q39" s="496">
        <v>3</v>
      </c>
      <c r="R39" s="496"/>
      <c r="S39" s="496"/>
      <c r="T39" s="554"/>
      <c r="U39" s="496"/>
      <c r="V39" s="496"/>
      <c r="W39" s="499">
        <f t="shared" si="4"/>
        <v>15</v>
      </c>
      <c r="X39" s="500">
        <f t="shared" si="5"/>
        <v>15</v>
      </c>
      <c r="Y39" s="501"/>
      <c r="Z39" s="501"/>
      <c r="AA39" s="497"/>
      <c r="AB39" s="502">
        <f t="shared" si="11"/>
        <v>0</v>
      </c>
      <c r="AC39" s="502"/>
      <c r="AD39" s="497"/>
      <c r="AE39" s="497"/>
      <c r="AF39" s="497"/>
      <c r="AG39" s="497"/>
      <c r="AH39" s="497"/>
      <c r="AI39" s="497"/>
      <c r="AJ39" s="497"/>
      <c r="AK39" s="502">
        <f t="shared" si="10"/>
        <v>0</v>
      </c>
      <c r="AL39" s="502">
        <f t="shared" si="0"/>
        <v>0</v>
      </c>
      <c r="AM39" s="497"/>
      <c r="AN39" s="497"/>
      <c r="AO39" s="497"/>
      <c r="AP39" s="497"/>
      <c r="AQ39" s="497"/>
      <c r="AR39" s="497"/>
      <c r="AS39" s="497"/>
      <c r="AT39" s="497"/>
      <c r="AU39" s="502">
        <f t="shared" si="1"/>
        <v>0</v>
      </c>
      <c r="AV39" s="502"/>
      <c r="AW39" s="497"/>
      <c r="AX39" s="497"/>
      <c r="AY39" s="497"/>
      <c r="AZ39" s="497"/>
      <c r="BA39" s="497"/>
      <c r="BB39" s="497"/>
      <c r="BC39" s="497"/>
      <c r="BD39" s="502">
        <f t="shared" si="8"/>
        <v>0</v>
      </c>
      <c r="BE39" s="502">
        <f t="shared" si="9"/>
        <v>0</v>
      </c>
      <c r="BF39" s="502">
        <f t="shared" si="2"/>
        <v>15</v>
      </c>
      <c r="BG39" s="660"/>
    </row>
    <row r="40" spans="1:59" s="194" customFormat="1" ht="16.5" thickBot="1">
      <c r="A40" s="462">
        <v>20</v>
      </c>
      <c r="B40" s="565" t="s">
        <v>220</v>
      </c>
      <c r="C40" s="548" t="s">
        <v>391</v>
      </c>
      <c r="D40" s="550"/>
      <c r="E40" s="550"/>
      <c r="F40" s="550"/>
      <c r="G40" s="550"/>
      <c r="H40" s="550"/>
      <c r="I40" s="550"/>
      <c r="J40" s="550"/>
      <c r="K40" s="550">
        <v>20</v>
      </c>
      <c r="L40" s="550"/>
      <c r="M40" s="465">
        <f t="shared" si="3"/>
        <v>20</v>
      </c>
      <c r="N40" s="465"/>
      <c r="O40" s="465"/>
      <c r="P40" s="465"/>
      <c r="Q40" s="550"/>
      <c r="R40" s="550"/>
      <c r="S40" s="550"/>
      <c r="T40" s="549"/>
      <c r="U40" s="550"/>
      <c r="V40" s="550"/>
      <c r="W40" s="468">
        <f t="shared" si="4"/>
        <v>0</v>
      </c>
      <c r="X40" s="469">
        <f t="shared" si="5"/>
        <v>20</v>
      </c>
      <c r="Y40" s="470"/>
      <c r="Z40" s="470"/>
      <c r="AA40" s="464"/>
      <c r="AB40" s="471">
        <f t="shared" si="11"/>
        <v>0</v>
      </c>
      <c r="AC40" s="471"/>
      <c r="AD40" s="464"/>
      <c r="AE40" s="464"/>
      <c r="AF40" s="464"/>
      <c r="AG40" s="464"/>
      <c r="AH40" s="464"/>
      <c r="AI40" s="464"/>
      <c r="AJ40" s="464"/>
      <c r="AK40" s="471">
        <f t="shared" si="10"/>
        <v>0</v>
      </c>
      <c r="AL40" s="471">
        <f t="shared" si="0"/>
        <v>0</v>
      </c>
      <c r="AM40" s="464"/>
      <c r="AN40" s="464"/>
      <c r="AO40" s="464"/>
      <c r="AP40" s="464"/>
      <c r="AQ40" s="464"/>
      <c r="AR40" s="464"/>
      <c r="AS40" s="464">
        <v>2</v>
      </c>
      <c r="AT40" s="464"/>
      <c r="AU40" s="471">
        <f t="shared" si="1"/>
        <v>2</v>
      </c>
      <c r="AV40" s="471"/>
      <c r="AW40" s="464"/>
      <c r="AX40" s="464"/>
      <c r="AY40" s="464"/>
      <c r="AZ40" s="464"/>
      <c r="BA40" s="464"/>
      <c r="BB40" s="464"/>
      <c r="BC40" s="464"/>
      <c r="BD40" s="471">
        <f t="shared" si="8"/>
        <v>0</v>
      </c>
      <c r="BE40" s="471">
        <f t="shared" si="9"/>
        <v>2</v>
      </c>
      <c r="BF40" s="471">
        <v>22</v>
      </c>
      <c r="BG40" s="566">
        <v>22</v>
      </c>
    </row>
    <row r="41" spans="1:59" s="194" customFormat="1" ht="15.75">
      <c r="A41" s="632">
        <v>21</v>
      </c>
      <c r="B41" s="642" t="s">
        <v>279</v>
      </c>
      <c r="C41" s="488" t="s">
        <v>221</v>
      </c>
      <c r="D41" s="489"/>
      <c r="E41" s="489"/>
      <c r="F41" s="489">
        <v>14</v>
      </c>
      <c r="G41" s="489"/>
      <c r="H41" s="489"/>
      <c r="I41" s="489"/>
      <c r="J41" s="489"/>
      <c r="K41" s="489"/>
      <c r="L41" s="489"/>
      <c r="M41" s="490">
        <f t="shared" si="3"/>
        <v>14</v>
      </c>
      <c r="N41" s="490"/>
      <c r="O41" s="490"/>
      <c r="P41" s="490"/>
      <c r="Q41" s="475"/>
      <c r="R41" s="475"/>
      <c r="S41" s="475"/>
      <c r="T41" s="489"/>
      <c r="U41" s="489"/>
      <c r="V41" s="489"/>
      <c r="W41" s="491">
        <f t="shared" si="4"/>
        <v>0</v>
      </c>
      <c r="X41" s="492">
        <f t="shared" si="5"/>
        <v>14</v>
      </c>
      <c r="Y41" s="493">
        <v>1</v>
      </c>
      <c r="Z41" s="493"/>
      <c r="AA41" s="489"/>
      <c r="AB41" s="494">
        <f t="shared" si="11"/>
        <v>1</v>
      </c>
      <c r="AC41" s="494"/>
      <c r="AD41" s="473"/>
      <c r="AE41" s="473"/>
      <c r="AF41" s="473"/>
      <c r="AG41" s="473"/>
      <c r="AH41" s="473"/>
      <c r="AI41" s="473"/>
      <c r="AJ41" s="489"/>
      <c r="AK41" s="494">
        <f t="shared" si="10"/>
        <v>0</v>
      </c>
      <c r="AL41" s="494">
        <f t="shared" si="0"/>
        <v>1</v>
      </c>
      <c r="AM41" s="473"/>
      <c r="AN41" s="473">
        <v>1</v>
      </c>
      <c r="AO41" s="473"/>
      <c r="AP41" s="473"/>
      <c r="AQ41" s="489"/>
      <c r="AR41" s="489"/>
      <c r="AS41" s="489"/>
      <c r="AT41" s="489"/>
      <c r="AU41" s="494">
        <f t="shared" si="1"/>
        <v>1</v>
      </c>
      <c r="AV41" s="494"/>
      <c r="AW41" s="473"/>
      <c r="AX41" s="473"/>
      <c r="AY41" s="473"/>
      <c r="AZ41" s="473"/>
      <c r="BA41" s="473"/>
      <c r="BB41" s="473"/>
      <c r="BC41" s="489"/>
      <c r="BD41" s="494">
        <f t="shared" si="8"/>
        <v>0</v>
      </c>
      <c r="BE41" s="494">
        <f t="shared" si="9"/>
        <v>1</v>
      </c>
      <c r="BF41" s="494">
        <f t="shared" ref="BF41:BF50" si="12">SUM(X41+AL41+BE41)</f>
        <v>16</v>
      </c>
      <c r="BG41" s="646">
        <v>27</v>
      </c>
    </row>
    <row r="42" spans="1:59" s="194" customFormat="1" ht="16.5" thickBot="1">
      <c r="A42" s="641"/>
      <c r="B42" s="643"/>
      <c r="C42" s="495" t="s">
        <v>155</v>
      </c>
      <c r="D42" s="496">
        <v>1</v>
      </c>
      <c r="E42" s="496">
        <v>1</v>
      </c>
      <c r="F42" s="496">
        <v>2</v>
      </c>
      <c r="G42" s="496">
        <v>1</v>
      </c>
      <c r="H42" s="496">
        <v>1</v>
      </c>
      <c r="I42" s="496"/>
      <c r="J42" s="496"/>
      <c r="K42" s="496"/>
      <c r="L42" s="496"/>
      <c r="M42" s="498">
        <f t="shared" si="3"/>
        <v>5</v>
      </c>
      <c r="N42" s="498">
        <v>2</v>
      </c>
      <c r="O42" s="498">
        <v>1</v>
      </c>
      <c r="P42" s="498">
        <v>1</v>
      </c>
      <c r="Q42" s="532">
        <v>1</v>
      </c>
      <c r="R42" s="532"/>
      <c r="S42" s="532"/>
      <c r="T42" s="496"/>
      <c r="U42" s="496"/>
      <c r="V42" s="496"/>
      <c r="W42" s="499">
        <f t="shared" si="4"/>
        <v>5</v>
      </c>
      <c r="X42" s="500">
        <f t="shared" si="5"/>
        <v>10</v>
      </c>
      <c r="Y42" s="501"/>
      <c r="Z42" s="501"/>
      <c r="AA42" s="496"/>
      <c r="AB42" s="502">
        <f t="shared" si="11"/>
        <v>0</v>
      </c>
      <c r="AC42" s="502"/>
      <c r="AD42" s="497"/>
      <c r="AE42" s="497"/>
      <c r="AF42" s="497"/>
      <c r="AG42" s="497"/>
      <c r="AH42" s="497"/>
      <c r="AI42" s="497"/>
      <c r="AJ42" s="496"/>
      <c r="AK42" s="502">
        <f t="shared" si="10"/>
        <v>0</v>
      </c>
      <c r="AL42" s="502">
        <f t="shared" si="0"/>
        <v>0</v>
      </c>
      <c r="AM42" s="497"/>
      <c r="AN42" s="497"/>
      <c r="AO42" s="497"/>
      <c r="AP42" s="497"/>
      <c r="AQ42" s="496"/>
      <c r="AR42" s="496"/>
      <c r="AS42" s="496"/>
      <c r="AT42" s="496"/>
      <c r="AU42" s="502">
        <f t="shared" si="1"/>
        <v>0</v>
      </c>
      <c r="AV42" s="502"/>
      <c r="AW42" s="497"/>
      <c r="AX42" s="497"/>
      <c r="AY42" s="497"/>
      <c r="AZ42" s="497"/>
      <c r="BA42" s="497"/>
      <c r="BB42" s="497"/>
      <c r="BC42" s="496"/>
      <c r="BD42" s="502">
        <f t="shared" si="8"/>
        <v>0</v>
      </c>
      <c r="BE42" s="502">
        <f t="shared" si="9"/>
        <v>0</v>
      </c>
      <c r="BF42" s="502">
        <f t="shared" si="12"/>
        <v>10</v>
      </c>
      <c r="BG42" s="647"/>
    </row>
    <row r="43" spans="1:59" s="194" customFormat="1" ht="16.5" thickBot="1">
      <c r="A43" s="567">
        <v>22</v>
      </c>
      <c r="B43" s="568" t="s">
        <v>218</v>
      </c>
      <c r="C43" s="569" t="s">
        <v>392</v>
      </c>
      <c r="D43" s="570"/>
      <c r="E43" s="570"/>
      <c r="F43" s="570"/>
      <c r="G43" s="570"/>
      <c r="H43" s="570">
        <v>21</v>
      </c>
      <c r="I43" s="570"/>
      <c r="J43" s="570"/>
      <c r="K43" s="570"/>
      <c r="L43" s="570"/>
      <c r="M43" s="571">
        <f t="shared" si="3"/>
        <v>21</v>
      </c>
      <c r="N43" s="571"/>
      <c r="O43" s="571"/>
      <c r="P43" s="571"/>
      <c r="Q43" s="572"/>
      <c r="R43" s="572"/>
      <c r="S43" s="572"/>
      <c r="T43" s="570"/>
      <c r="U43" s="570"/>
      <c r="V43" s="570"/>
      <c r="W43" s="573">
        <f t="shared" si="4"/>
        <v>0</v>
      </c>
      <c r="X43" s="574">
        <f t="shared" si="5"/>
        <v>21</v>
      </c>
      <c r="Y43" s="575"/>
      <c r="Z43" s="575"/>
      <c r="AA43" s="570">
        <v>1</v>
      </c>
      <c r="AB43" s="576">
        <f t="shared" si="11"/>
        <v>1</v>
      </c>
      <c r="AC43" s="576"/>
      <c r="AD43" s="577"/>
      <c r="AE43" s="577"/>
      <c r="AF43" s="577"/>
      <c r="AG43" s="577"/>
      <c r="AH43" s="577"/>
      <c r="AI43" s="577"/>
      <c r="AJ43" s="570"/>
      <c r="AK43" s="576">
        <f t="shared" si="10"/>
        <v>0</v>
      </c>
      <c r="AL43" s="576">
        <f t="shared" si="0"/>
        <v>1</v>
      </c>
      <c r="AM43" s="577"/>
      <c r="AN43" s="577"/>
      <c r="AO43" s="577"/>
      <c r="AP43" s="577">
        <v>2</v>
      </c>
      <c r="AQ43" s="570"/>
      <c r="AR43" s="570"/>
      <c r="AS43" s="570"/>
      <c r="AT43" s="570"/>
      <c r="AU43" s="576">
        <f t="shared" si="1"/>
        <v>2</v>
      </c>
      <c r="AV43" s="576"/>
      <c r="AW43" s="577"/>
      <c r="AX43" s="577"/>
      <c r="AY43" s="577"/>
      <c r="AZ43" s="577"/>
      <c r="BA43" s="577"/>
      <c r="BB43" s="577"/>
      <c r="BC43" s="570"/>
      <c r="BD43" s="576">
        <f t="shared" si="8"/>
        <v>0</v>
      </c>
      <c r="BE43" s="576">
        <f t="shared" si="9"/>
        <v>2</v>
      </c>
      <c r="BF43" s="576">
        <f t="shared" si="12"/>
        <v>24</v>
      </c>
      <c r="BG43" s="578">
        <v>24</v>
      </c>
    </row>
    <row r="44" spans="1:59" s="194" customFormat="1" ht="16.5" thickBot="1">
      <c r="A44" s="567">
        <v>23</v>
      </c>
      <c r="B44" s="579" t="s">
        <v>393</v>
      </c>
      <c r="C44" s="569" t="s">
        <v>190</v>
      </c>
      <c r="D44" s="570">
        <v>2</v>
      </c>
      <c r="E44" s="570"/>
      <c r="F44" s="570">
        <v>1</v>
      </c>
      <c r="G44" s="570"/>
      <c r="H44" s="570">
        <v>1</v>
      </c>
      <c r="I44" s="570"/>
      <c r="J44" s="570"/>
      <c r="K44" s="570"/>
      <c r="L44" s="570">
        <v>1</v>
      </c>
      <c r="M44" s="571">
        <f t="shared" si="3"/>
        <v>3</v>
      </c>
      <c r="N44" s="571">
        <v>1</v>
      </c>
      <c r="O44" s="571">
        <v>1</v>
      </c>
      <c r="P44" s="571"/>
      <c r="Q44" s="572"/>
      <c r="R44" s="572"/>
      <c r="S44" s="572">
        <v>1</v>
      </c>
      <c r="T44" s="570">
        <v>1</v>
      </c>
      <c r="U44" s="570"/>
      <c r="V44" s="570"/>
      <c r="W44" s="573">
        <f t="shared" si="4"/>
        <v>4</v>
      </c>
      <c r="X44" s="574">
        <f t="shared" si="5"/>
        <v>7</v>
      </c>
      <c r="Y44" s="575"/>
      <c r="Z44" s="575"/>
      <c r="AA44" s="570"/>
      <c r="AB44" s="576">
        <f t="shared" si="11"/>
        <v>0</v>
      </c>
      <c r="AC44" s="576"/>
      <c r="AD44" s="577"/>
      <c r="AE44" s="577"/>
      <c r="AF44" s="577"/>
      <c r="AG44" s="577"/>
      <c r="AH44" s="577"/>
      <c r="AI44" s="577"/>
      <c r="AJ44" s="570"/>
      <c r="AK44" s="576">
        <f t="shared" si="10"/>
        <v>0</v>
      </c>
      <c r="AL44" s="576">
        <f t="shared" si="0"/>
        <v>0</v>
      </c>
      <c r="AM44" s="577"/>
      <c r="AN44" s="577"/>
      <c r="AO44" s="577"/>
      <c r="AP44" s="577"/>
      <c r="AQ44" s="570"/>
      <c r="AR44" s="570"/>
      <c r="AS44" s="570"/>
      <c r="AT44" s="570"/>
      <c r="AU44" s="576">
        <f t="shared" si="1"/>
        <v>0</v>
      </c>
      <c r="AV44" s="576"/>
      <c r="AW44" s="577"/>
      <c r="AX44" s="577"/>
      <c r="AY44" s="577"/>
      <c r="AZ44" s="577"/>
      <c r="BA44" s="577"/>
      <c r="BB44" s="577"/>
      <c r="BC44" s="570"/>
      <c r="BD44" s="576">
        <f t="shared" si="8"/>
        <v>0</v>
      </c>
      <c r="BE44" s="576">
        <f t="shared" si="9"/>
        <v>0</v>
      </c>
      <c r="BF44" s="576">
        <f t="shared" si="12"/>
        <v>7</v>
      </c>
      <c r="BG44" s="580">
        <v>9</v>
      </c>
    </row>
    <row r="45" spans="1:59" s="194" customFormat="1" ht="16.5" thickBot="1">
      <c r="A45" s="581">
        <v>24</v>
      </c>
      <c r="B45" s="582" t="s">
        <v>280</v>
      </c>
      <c r="C45" s="495" t="s">
        <v>219</v>
      </c>
      <c r="D45" s="496"/>
      <c r="E45" s="496"/>
      <c r="F45" s="496"/>
      <c r="G45" s="496">
        <v>20</v>
      </c>
      <c r="H45" s="496"/>
      <c r="I45" s="496"/>
      <c r="J45" s="496"/>
      <c r="K45" s="496"/>
      <c r="L45" s="496"/>
      <c r="M45" s="498">
        <f t="shared" si="3"/>
        <v>20</v>
      </c>
      <c r="N45" s="498"/>
      <c r="O45" s="498"/>
      <c r="P45" s="498"/>
      <c r="Q45" s="532"/>
      <c r="R45" s="532"/>
      <c r="S45" s="532"/>
      <c r="T45" s="496"/>
      <c r="U45" s="496"/>
      <c r="V45" s="496"/>
      <c r="W45" s="499">
        <f t="shared" si="4"/>
        <v>0</v>
      </c>
      <c r="X45" s="500">
        <f t="shared" si="5"/>
        <v>20</v>
      </c>
      <c r="Y45" s="501"/>
      <c r="Z45" s="501">
        <v>1</v>
      </c>
      <c r="AA45" s="496"/>
      <c r="AB45" s="502">
        <f t="shared" si="11"/>
        <v>1</v>
      </c>
      <c r="AC45" s="502"/>
      <c r="AD45" s="497"/>
      <c r="AE45" s="497"/>
      <c r="AF45" s="497"/>
      <c r="AG45" s="497"/>
      <c r="AH45" s="497"/>
      <c r="AI45" s="497"/>
      <c r="AJ45" s="496"/>
      <c r="AK45" s="502">
        <f t="shared" si="10"/>
        <v>0</v>
      </c>
      <c r="AL45" s="502">
        <f t="shared" si="0"/>
        <v>1</v>
      </c>
      <c r="AM45" s="497"/>
      <c r="AN45" s="497"/>
      <c r="AO45" s="497">
        <v>2</v>
      </c>
      <c r="AP45" s="497"/>
      <c r="AQ45" s="496"/>
      <c r="AR45" s="496"/>
      <c r="AS45" s="496"/>
      <c r="AT45" s="496"/>
      <c r="AU45" s="502">
        <f t="shared" si="1"/>
        <v>2</v>
      </c>
      <c r="AV45" s="502"/>
      <c r="AW45" s="497"/>
      <c r="AX45" s="497"/>
      <c r="AY45" s="497"/>
      <c r="AZ45" s="497"/>
      <c r="BA45" s="497"/>
      <c r="BB45" s="497"/>
      <c r="BC45" s="496"/>
      <c r="BD45" s="502">
        <f t="shared" si="8"/>
        <v>0</v>
      </c>
      <c r="BE45" s="502">
        <f t="shared" si="9"/>
        <v>2</v>
      </c>
      <c r="BF45" s="502">
        <f t="shared" si="12"/>
        <v>23</v>
      </c>
      <c r="BG45" s="583">
        <v>23</v>
      </c>
    </row>
    <row r="46" spans="1:59" s="194" customFormat="1" ht="16.5" thickBot="1">
      <c r="A46" s="584">
        <v>25</v>
      </c>
      <c r="B46" s="585" t="s">
        <v>394</v>
      </c>
      <c r="C46" s="569" t="s">
        <v>320</v>
      </c>
      <c r="D46" s="570"/>
      <c r="E46" s="570"/>
      <c r="F46" s="570"/>
      <c r="G46" s="570"/>
      <c r="H46" s="570"/>
      <c r="I46" s="570"/>
      <c r="J46" s="570"/>
      <c r="K46" s="570"/>
      <c r="L46" s="570"/>
      <c r="M46" s="571">
        <f t="shared" si="3"/>
        <v>0</v>
      </c>
      <c r="N46" s="571"/>
      <c r="O46" s="571"/>
      <c r="P46" s="571">
        <v>2</v>
      </c>
      <c r="Q46" s="570">
        <v>2</v>
      </c>
      <c r="R46" s="570">
        <v>2</v>
      </c>
      <c r="S46" s="570"/>
      <c r="T46" s="586"/>
      <c r="U46" s="570"/>
      <c r="V46" s="570"/>
      <c r="W46" s="573">
        <f t="shared" si="4"/>
        <v>6</v>
      </c>
      <c r="X46" s="574">
        <f t="shared" si="5"/>
        <v>6</v>
      </c>
      <c r="Y46" s="575"/>
      <c r="Z46" s="575"/>
      <c r="AA46" s="570"/>
      <c r="AB46" s="576">
        <f t="shared" si="11"/>
        <v>0</v>
      </c>
      <c r="AC46" s="576"/>
      <c r="AD46" s="577"/>
      <c r="AE46" s="577"/>
      <c r="AF46" s="577"/>
      <c r="AG46" s="577"/>
      <c r="AH46" s="577"/>
      <c r="AI46" s="577"/>
      <c r="AJ46" s="570"/>
      <c r="AK46" s="576">
        <f t="shared" si="10"/>
        <v>0</v>
      </c>
      <c r="AL46" s="576">
        <f t="shared" si="0"/>
        <v>0</v>
      </c>
      <c r="AM46" s="577"/>
      <c r="AN46" s="577"/>
      <c r="AO46" s="577"/>
      <c r="AP46" s="577"/>
      <c r="AQ46" s="570"/>
      <c r="AR46" s="570"/>
      <c r="AS46" s="570"/>
      <c r="AT46" s="570"/>
      <c r="AU46" s="576">
        <f>SUM(AM46:AT46)</f>
        <v>0</v>
      </c>
      <c r="AV46" s="576">
        <v>1</v>
      </c>
      <c r="AW46" s="577">
        <v>1</v>
      </c>
      <c r="AX46" s="577"/>
      <c r="AY46" s="577"/>
      <c r="AZ46" s="577"/>
      <c r="BA46" s="577"/>
      <c r="BB46" s="577"/>
      <c r="BC46" s="570"/>
      <c r="BD46" s="576">
        <f t="shared" si="8"/>
        <v>2</v>
      </c>
      <c r="BE46" s="576">
        <f t="shared" si="9"/>
        <v>2</v>
      </c>
      <c r="BF46" s="576">
        <f t="shared" si="12"/>
        <v>8</v>
      </c>
      <c r="BG46" s="587">
        <f>SUM(BF46)</f>
        <v>8</v>
      </c>
    </row>
    <row r="47" spans="1:59" s="194" customFormat="1" ht="16.5" thickBot="1">
      <c r="A47" s="584">
        <v>26</v>
      </c>
      <c r="B47" s="585" t="s">
        <v>395</v>
      </c>
      <c r="C47" s="569" t="s">
        <v>222</v>
      </c>
      <c r="D47" s="570">
        <v>9.5</v>
      </c>
      <c r="E47" s="570"/>
      <c r="F47" s="570"/>
      <c r="G47" s="570"/>
      <c r="H47" s="570"/>
      <c r="I47" s="570"/>
      <c r="J47" s="570"/>
      <c r="K47" s="570"/>
      <c r="L47" s="570"/>
      <c r="M47" s="571">
        <f t="shared" si="3"/>
        <v>0</v>
      </c>
      <c r="N47" s="571"/>
      <c r="O47" s="571"/>
      <c r="P47" s="571"/>
      <c r="Q47" s="570"/>
      <c r="R47" s="570"/>
      <c r="S47" s="570"/>
      <c r="T47" s="586"/>
      <c r="U47" s="570"/>
      <c r="V47" s="570"/>
      <c r="W47" s="573">
        <f>SUM(N47:V47)</f>
        <v>0</v>
      </c>
      <c r="X47" s="574">
        <f>SUM(W47,M47)</f>
        <v>0</v>
      </c>
      <c r="Y47" s="575"/>
      <c r="Z47" s="575"/>
      <c r="AA47" s="570"/>
      <c r="AB47" s="576">
        <f t="shared" si="11"/>
        <v>0</v>
      </c>
      <c r="AC47" s="576"/>
      <c r="AD47" s="577"/>
      <c r="AE47" s="577"/>
      <c r="AF47" s="577"/>
      <c r="AG47" s="577"/>
      <c r="AH47" s="577"/>
      <c r="AI47" s="577"/>
      <c r="AJ47" s="570"/>
      <c r="AK47" s="576">
        <f t="shared" si="10"/>
        <v>0</v>
      </c>
      <c r="AL47" s="576">
        <f t="shared" si="0"/>
        <v>0</v>
      </c>
      <c r="AM47" s="577"/>
      <c r="AN47" s="577"/>
      <c r="AO47" s="577"/>
      <c r="AP47" s="577"/>
      <c r="AQ47" s="570"/>
      <c r="AR47" s="570"/>
      <c r="AS47" s="570"/>
      <c r="AT47" s="570"/>
      <c r="AU47" s="576">
        <f>SUM(AM47:AT47)</f>
        <v>0</v>
      </c>
      <c r="AV47" s="576"/>
      <c r="AW47" s="577"/>
      <c r="AX47" s="577"/>
      <c r="AY47" s="577"/>
      <c r="AZ47" s="577"/>
      <c r="BA47" s="577"/>
      <c r="BB47" s="577"/>
      <c r="BC47" s="570"/>
      <c r="BD47" s="576">
        <f t="shared" si="8"/>
        <v>0</v>
      </c>
      <c r="BE47" s="576">
        <f t="shared" si="9"/>
        <v>0</v>
      </c>
      <c r="BF47" s="576">
        <f t="shared" si="12"/>
        <v>0</v>
      </c>
      <c r="BG47" s="587">
        <v>11.5</v>
      </c>
    </row>
    <row r="48" spans="1:59" s="194" customFormat="1" ht="16.5" thickBot="1">
      <c r="A48" s="584">
        <v>27</v>
      </c>
      <c r="B48" s="585" t="s">
        <v>396</v>
      </c>
      <c r="C48" s="569" t="s">
        <v>222</v>
      </c>
      <c r="D48" s="570">
        <v>17</v>
      </c>
      <c r="E48" s="570"/>
      <c r="F48" s="570"/>
      <c r="G48" s="570"/>
      <c r="H48" s="570"/>
      <c r="I48" s="570"/>
      <c r="J48" s="570"/>
      <c r="K48" s="570"/>
      <c r="L48" s="570"/>
      <c r="M48" s="571">
        <f t="shared" si="3"/>
        <v>0</v>
      </c>
      <c r="N48" s="571"/>
      <c r="O48" s="571"/>
      <c r="P48" s="571"/>
      <c r="Q48" s="570"/>
      <c r="R48" s="570"/>
      <c r="S48" s="570"/>
      <c r="T48" s="586"/>
      <c r="U48" s="570"/>
      <c r="V48" s="570"/>
      <c r="W48" s="573">
        <f>SUM(N48:V48)</f>
        <v>0</v>
      </c>
      <c r="X48" s="574">
        <f>SUM(W48,M48)</f>
        <v>0</v>
      </c>
      <c r="Y48" s="575"/>
      <c r="Z48" s="575"/>
      <c r="AA48" s="570"/>
      <c r="AB48" s="576">
        <f t="shared" si="11"/>
        <v>0</v>
      </c>
      <c r="AC48" s="576"/>
      <c r="AD48" s="577"/>
      <c r="AE48" s="577"/>
      <c r="AF48" s="577"/>
      <c r="AG48" s="577"/>
      <c r="AH48" s="577"/>
      <c r="AI48" s="577"/>
      <c r="AJ48" s="570"/>
      <c r="AK48" s="576">
        <f t="shared" si="10"/>
        <v>0</v>
      </c>
      <c r="AL48" s="576">
        <f t="shared" si="0"/>
        <v>0</v>
      </c>
      <c r="AM48" s="577"/>
      <c r="AN48" s="577"/>
      <c r="AO48" s="577"/>
      <c r="AP48" s="577"/>
      <c r="AQ48" s="570"/>
      <c r="AR48" s="570"/>
      <c r="AS48" s="570"/>
      <c r="AT48" s="570"/>
      <c r="AU48" s="576">
        <f>SUM(AM48:AT48)</f>
        <v>0</v>
      </c>
      <c r="AV48" s="576"/>
      <c r="AW48" s="577"/>
      <c r="AX48" s="577"/>
      <c r="AY48" s="577"/>
      <c r="AZ48" s="577"/>
      <c r="BA48" s="577"/>
      <c r="BB48" s="577"/>
      <c r="BC48" s="570"/>
      <c r="BD48" s="576">
        <f t="shared" si="8"/>
        <v>0</v>
      </c>
      <c r="BE48" s="576">
        <f t="shared" si="9"/>
        <v>0</v>
      </c>
      <c r="BF48" s="576">
        <f t="shared" si="12"/>
        <v>0</v>
      </c>
      <c r="BG48" s="587">
        <v>21</v>
      </c>
    </row>
    <row r="49" spans="1:59" s="194" customFormat="1" ht="16.5" thickBot="1">
      <c r="A49" s="584">
        <v>28</v>
      </c>
      <c r="B49" s="585" t="s">
        <v>397</v>
      </c>
      <c r="C49" s="569" t="s">
        <v>246</v>
      </c>
      <c r="D49" s="570"/>
      <c r="E49" s="570"/>
      <c r="F49" s="570"/>
      <c r="G49" s="570"/>
      <c r="H49" s="570"/>
      <c r="I49" s="570"/>
      <c r="J49" s="570"/>
      <c r="K49" s="570"/>
      <c r="L49" s="570"/>
      <c r="M49" s="571">
        <f t="shared" si="3"/>
        <v>0</v>
      </c>
      <c r="N49" s="571">
        <v>5</v>
      </c>
      <c r="O49" s="571"/>
      <c r="P49" s="571">
        <v>5</v>
      </c>
      <c r="Q49" s="570"/>
      <c r="R49" s="570"/>
      <c r="S49" s="570"/>
      <c r="T49" s="586"/>
      <c r="U49" s="570"/>
      <c r="V49" s="570"/>
      <c r="W49" s="573">
        <f>SUM(N49:V49)</f>
        <v>10</v>
      </c>
      <c r="X49" s="574">
        <f>SUM(W49,M49)</f>
        <v>10</v>
      </c>
      <c r="Y49" s="575"/>
      <c r="Z49" s="575"/>
      <c r="AA49" s="570"/>
      <c r="AB49" s="576">
        <f t="shared" si="11"/>
        <v>0</v>
      </c>
      <c r="AC49" s="576">
        <v>1</v>
      </c>
      <c r="AD49" s="577"/>
      <c r="AE49" s="577"/>
      <c r="AF49" s="577"/>
      <c r="AG49" s="577"/>
      <c r="AH49" s="577"/>
      <c r="AI49" s="577"/>
      <c r="AJ49" s="570"/>
      <c r="AK49" s="576">
        <f t="shared" si="10"/>
        <v>1</v>
      </c>
      <c r="AL49" s="576">
        <f t="shared" si="0"/>
        <v>1</v>
      </c>
      <c r="AM49" s="577"/>
      <c r="AN49" s="577"/>
      <c r="AO49" s="577"/>
      <c r="AP49" s="577"/>
      <c r="AQ49" s="570"/>
      <c r="AR49" s="570"/>
      <c r="AS49" s="570"/>
      <c r="AT49" s="570"/>
      <c r="AU49" s="576">
        <f>SUM(AM49:AT49)</f>
        <v>0</v>
      </c>
      <c r="AV49" s="576"/>
      <c r="AW49" s="577"/>
      <c r="AX49" s="577">
        <v>1</v>
      </c>
      <c r="AY49" s="577"/>
      <c r="AZ49" s="577"/>
      <c r="BA49" s="577"/>
      <c r="BB49" s="577"/>
      <c r="BC49" s="570"/>
      <c r="BD49" s="576">
        <f t="shared" si="8"/>
        <v>1</v>
      </c>
      <c r="BE49" s="576">
        <f t="shared" si="9"/>
        <v>1</v>
      </c>
      <c r="BF49" s="576">
        <f t="shared" si="12"/>
        <v>12</v>
      </c>
      <c r="BG49" s="587">
        <v>12</v>
      </c>
    </row>
    <row r="50" spans="1:59" s="194" customFormat="1" ht="16.5" thickBot="1">
      <c r="A50" s="584">
        <v>29</v>
      </c>
      <c r="B50" s="585" t="s">
        <v>398</v>
      </c>
      <c r="C50" s="569" t="s">
        <v>399</v>
      </c>
      <c r="D50" s="570"/>
      <c r="E50" s="570"/>
      <c r="F50" s="570"/>
      <c r="G50" s="570"/>
      <c r="H50" s="570"/>
      <c r="I50" s="570"/>
      <c r="J50" s="570">
        <v>18</v>
      </c>
      <c r="K50" s="570"/>
      <c r="L50" s="570"/>
      <c r="M50" s="571">
        <f t="shared" si="3"/>
        <v>18</v>
      </c>
      <c r="N50" s="571"/>
      <c r="O50" s="571"/>
      <c r="P50" s="571"/>
      <c r="Q50" s="570"/>
      <c r="R50" s="570"/>
      <c r="S50" s="570"/>
      <c r="T50" s="586"/>
      <c r="U50" s="570"/>
      <c r="V50" s="570"/>
      <c r="W50" s="573">
        <f>SUM(N50:V50)</f>
        <v>0</v>
      </c>
      <c r="X50" s="574">
        <f>SUM(W50,M50)</f>
        <v>18</v>
      </c>
      <c r="Y50" s="575"/>
      <c r="Z50" s="575"/>
      <c r="AA50" s="570"/>
      <c r="AB50" s="576">
        <f t="shared" si="11"/>
        <v>0</v>
      </c>
      <c r="AC50" s="576"/>
      <c r="AD50" s="577"/>
      <c r="AE50" s="577"/>
      <c r="AF50" s="577"/>
      <c r="AG50" s="577"/>
      <c r="AH50" s="577"/>
      <c r="AI50" s="577"/>
      <c r="AJ50" s="570"/>
      <c r="AK50" s="576">
        <f t="shared" si="10"/>
        <v>0</v>
      </c>
      <c r="AL50" s="576">
        <f t="shared" si="0"/>
        <v>0</v>
      </c>
      <c r="AM50" s="577"/>
      <c r="AN50" s="577"/>
      <c r="AO50" s="577"/>
      <c r="AP50" s="577"/>
      <c r="AQ50" s="570"/>
      <c r="AR50" s="570">
        <v>1</v>
      </c>
      <c r="AS50" s="570"/>
      <c r="AT50" s="570"/>
      <c r="AU50" s="576">
        <f>SUM(AM50:AT50)</f>
        <v>1</v>
      </c>
      <c r="AV50" s="576"/>
      <c r="AW50" s="577"/>
      <c r="AX50" s="577"/>
      <c r="AY50" s="577"/>
      <c r="AZ50" s="577"/>
      <c r="BA50" s="577"/>
      <c r="BB50" s="577"/>
      <c r="BC50" s="570"/>
      <c r="BD50" s="576">
        <f t="shared" si="8"/>
        <v>0</v>
      </c>
      <c r="BE50" s="576">
        <f t="shared" si="9"/>
        <v>1</v>
      </c>
      <c r="BF50" s="576">
        <f t="shared" si="12"/>
        <v>19</v>
      </c>
      <c r="BG50" s="587">
        <v>19</v>
      </c>
    </row>
    <row r="51" spans="1:59" s="194" customFormat="1" ht="15.75">
      <c r="A51" s="588"/>
      <c r="B51" s="589" t="s">
        <v>112</v>
      </c>
      <c r="C51" s="590"/>
      <c r="D51" s="591">
        <f>SUM(D5:D48)</f>
        <v>30</v>
      </c>
      <c r="E51" s="591">
        <f>SUM(E5:E48)</f>
        <v>22</v>
      </c>
      <c r="F51" s="591">
        <f>SUM(F5:F48)</f>
        <v>28</v>
      </c>
      <c r="G51" s="591">
        <f>SUM(G5:G48)</f>
        <v>26</v>
      </c>
      <c r="H51" s="591">
        <f>SUM(H5:H48)</f>
        <v>26</v>
      </c>
      <c r="I51" s="591">
        <f>SUM(I5:I49)</f>
        <v>22</v>
      </c>
      <c r="J51" s="591">
        <f>SUM(J5:J50)</f>
        <v>24</v>
      </c>
      <c r="K51" s="591">
        <f t="shared" ref="K51:BG51" si="13">SUM(K5:K50)</f>
        <v>27</v>
      </c>
      <c r="L51" s="591">
        <f t="shared" si="13"/>
        <v>28</v>
      </c>
      <c r="M51" s="591">
        <f t="shared" si="13"/>
        <v>203</v>
      </c>
      <c r="N51" s="591">
        <f t="shared" si="13"/>
        <v>40</v>
      </c>
      <c r="O51" s="591">
        <f t="shared" si="13"/>
        <v>29</v>
      </c>
      <c r="P51" s="591">
        <f t="shared" si="13"/>
        <v>32</v>
      </c>
      <c r="Q51" s="591">
        <f t="shared" si="13"/>
        <v>33</v>
      </c>
      <c r="R51" s="591">
        <f t="shared" si="13"/>
        <v>34</v>
      </c>
      <c r="S51" s="591">
        <f t="shared" si="13"/>
        <v>31</v>
      </c>
      <c r="T51" s="591">
        <f t="shared" si="13"/>
        <v>31</v>
      </c>
      <c r="U51" s="591">
        <f t="shared" si="13"/>
        <v>35</v>
      </c>
      <c r="V51" s="591">
        <f t="shared" si="13"/>
        <v>36</v>
      </c>
      <c r="W51" s="591">
        <f t="shared" si="13"/>
        <v>301</v>
      </c>
      <c r="X51" s="591">
        <f t="shared" si="13"/>
        <v>504</v>
      </c>
      <c r="Y51" s="591">
        <f t="shared" si="13"/>
        <v>1</v>
      </c>
      <c r="Z51" s="591">
        <f t="shared" si="13"/>
        <v>1</v>
      </c>
      <c r="AA51" s="591">
        <f t="shared" si="13"/>
        <v>1</v>
      </c>
      <c r="AB51" s="591">
        <f t="shared" si="13"/>
        <v>3</v>
      </c>
      <c r="AC51" s="591">
        <f t="shared" si="13"/>
        <v>2</v>
      </c>
      <c r="AD51" s="591">
        <f t="shared" si="13"/>
        <v>3</v>
      </c>
      <c r="AE51" s="591">
        <f t="shared" si="13"/>
        <v>1</v>
      </c>
      <c r="AF51" s="591">
        <f t="shared" si="13"/>
        <v>2</v>
      </c>
      <c r="AG51" s="591">
        <f t="shared" si="13"/>
        <v>3</v>
      </c>
      <c r="AH51" s="591">
        <f t="shared" si="13"/>
        <v>1</v>
      </c>
      <c r="AI51" s="591">
        <f t="shared" si="13"/>
        <v>1</v>
      </c>
      <c r="AJ51" s="591">
        <f t="shared" si="13"/>
        <v>1</v>
      </c>
      <c r="AK51" s="591">
        <f t="shared" si="13"/>
        <v>14</v>
      </c>
      <c r="AL51" s="591">
        <f t="shared" si="13"/>
        <v>17</v>
      </c>
      <c r="AM51" s="591">
        <f t="shared" si="13"/>
        <v>2</v>
      </c>
      <c r="AN51" s="591">
        <f t="shared" si="13"/>
        <v>1</v>
      </c>
      <c r="AO51" s="591">
        <f t="shared" si="13"/>
        <v>2</v>
      </c>
      <c r="AP51" s="591">
        <f t="shared" si="13"/>
        <v>2</v>
      </c>
      <c r="AQ51" s="591">
        <f t="shared" si="13"/>
        <v>2</v>
      </c>
      <c r="AR51" s="591">
        <f t="shared" si="13"/>
        <v>1</v>
      </c>
      <c r="AS51" s="591">
        <f t="shared" si="13"/>
        <v>2</v>
      </c>
      <c r="AT51" s="591">
        <f t="shared" si="13"/>
        <v>1</v>
      </c>
      <c r="AU51" s="591">
        <f t="shared" si="13"/>
        <v>13</v>
      </c>
      <c r="AV51" s="591">
        <f t="shared" si="13"/>
        <v>1</v>
      </c>
      <c r="AW51" s="591">
        <f t="shared" si="13"/>
        <v>1</v>
      </c>
      <c r="AX51" s="591">
        <f t="shared" si="13"/>
        <v>1</v>
      </c>
      <c r="AY51" s="591">
        <f t="shared" si="13"/>
        <v>1</v>
      </c>
      <c r="AZ51" s="591">
        <f t="shared" si="13"/>
        <v>1</v>
      </c>
      <c r="BA51" s="591">
        <f t="shared" si="13"/>
        <v>1</v>
      </c>
      <c r="BB51" s="591">
        <f t="shared" si="13"/>
        <v>1</v>
      </c>
      <c r="BC51" s="591">
        <f t="shared" si="13"/>
        <v>1</v>
      </c>
      <c r="BD51" s="591">
        <f t="shared" si="13"/>
        <v>8</v>
      </c>
      <c r="BE51" s="591">
        <f t="shared" si="13"/>
        <v>21</v>
      </c>
      <c r="BF51" s="591">
        <f t="shared" si="13"/>
        <v>542</v>
      </c>
      <c r="BG51" s="591">
        <f t="shared" si="13"/>
        <v>578</v>
      </c>
    </row>
    <row r="52" spans="1:59" s="194" customFormat="1" ht="15.75">
      <c r="A52" s="202"/>
      <c r="B52" s="670" t="s">
        <v>217</v>
      </c>
      <c r="C52" s="670"/>
      <c r="D52" s="203"/>
      <c r="E52" s="203"/>
      <c r="F52" s="203"/>
      <c r="G52" s="203"/>
      <c r="H52" s="203"/>
      <c r="I52" s="203"/>
      <c r="J52" s="203"/>
      <c r="K52" s="203"/>
      <c r="L52" s="204"/>
      <c r="M52" s="203" t="s">
        <v>145</v>
      </c>
      <c r="N52" s="203"/>
      <c r="O52" s="203"/>
      <c r="P52" s="203"/>
      <c r="Q52" s="203"/>
      <c r="R52" s="203"/>
      <c r="S52" s="203"/>
      <c r="T52" s="203"/>
      <c r="U52" s="202"/>
      <c r="V52" s="202"/>
      <c r="W52" s="202"/>
      <c r="X52" s="205"/>
      <c r="Y52" s="206"/>
      <c r="Z52" s="206"/>
      <c r="AA52" s="207"/>
      <c r="AB52" s="208"/>
      <c r="AC52" s="208"/>
      <c r="AD52" s="206"/>
      <c r="AE52" s="206"/>
      <c r="AF52" s="206"/>
      <c r="AG52" s="206"/>
      <c r="AH52" s="206"/>
      <c r="AI52" s="206"/>
      <c r="AJ52" s="207"/>
      <c r="AK52" s="208"/>
      <c r="AL52" s="208"/>
      <c r="AM52" s="206"/>
      <c r="AN52" s="206"/>
      <c r="AO52" s="206"/>
      <c r="AP52" s="206"/>
      <c r="AQ52" s="207"/>
      <c r="AR52" s="207"/>
      <c r="AS52" s="207"/>
      <c r="AT52" s="207"/>
      <c r="AU52" s="208"/>
      <c r="AV52" s="208"/>
      <c r="AW52" s="206"/>
      <c r="AX52" s="206"/>
      <c r="AY52" s="206"/>
      <c r="AZ52" s="206"/>
      <c r="BA52" s="206"/>
      <c r="BB52" s="206"/>
      <c r="BC52" s="207"/>
      <c r="BD52" s="208"/>
      <c r="BE52" s="208"/>
      <c r="BF52" s="208"/>
      <c r="BG52" s="209"/>
    </row>
    <row r="53" spans="1:59" ht="15.75">
      <c r="A53" s="143"/>
      <c r="B53" s="146"/>
      <c r="C53" s="121"/>
      <c r="D53" s="121"/>
      <c r="E53" s="121"/>
      <c r="F53" s="121"/>
      <c r="G53" s="121"/>
      <c r="H53" s="121"/>
      <c r="I53" s="121"/>
      <c r="J53" s="121"/>
      <c r="K53" s="121"/>
      <c r="L53" s="145"/>
      <c r="M53" s="121"/>
      <c r="N53" s="121"/>
      <c r="O53" s="121"/>
      <c r="P53" s="121"/>
      <c r="Q53" s="121"/>
      <c r="R53" s="121"/>
      <c r="S53" s="121"/>
      <c r="T53" s="121"/>
      <c r="U53" s="143"/>
      <c r="V53" s="143"/>
      <c r="W53" s="143"/>
      <c r="X53" s="144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</row>
    <row r="54" spans="1:59" ht="15.75">
      <c r="A54" s="143"/>
      <c r="B54" s="671" t="s">
        <v>216</v>
      </c>
      <c r="C54" s="671"/>
      <c r="D54" s="671"/>
      <c r="E54" s="451"/>
      <c r="F54" s="451"/>
      <c r="G54" s="451"/>
      <c r="H54" s="121"/>
      <c r="I54" s="121"/>
      <c r="J54" s="121"/>
      <c r="K54" s="121"/>
      <c r="L54" s="145"/>
      <c r="M54" s="121" t="s">
        <v>147</v>
      </c>
      <c r="N54" s="121"/>
      <c r="O54" s="121"/>
      <c r="P54" s="121"/>
      <c r="Q54" s="121"/>
      <c r="R54" s="121"/>
      <c r="S54" s="121"/>
      <c r="T54" s="121"/>
      <c r="U54" s="143"/>
      <c r="V54" s="143"/>
      <c r="W54" s="143"/>
      <c r="X54" s="144"/>
      <c r="Y54" s="143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</row>
  </sheetData>
  <mergeCells count="44">
    <mergeCell ref="B52:C52"/>
    <mergeCell ref="B54:D54"/>
    <mergeCell ref="A38:A39"/>
    <mergeCell ref="B38:B39"/>
    <mergeCell ref="BG38:BG39"/>
    <mergeCell ref="A41:A42"/>
    <mergeCell ref="B41:B42"/>
    <mergeCell ref="BG41:BG42"/>
    <mergeCell ref="A32:A34"/>
    <mergeCell ref="B32:B34"/>
    <mergeCell ref="BG32:BG34"/>
    <mergeCell ref="A35:A36"/>
    <mergeCell ref="B35:B36"/>
    <mergeCell ref="BG35:BG36"/>
    <mergeCell ref="A25:A26"/>
    <mergeCell ref="B25:B26"/>
    <mergeCell ref="BG25:BG26"/>
    <mergeCell ref="A28:A30"/>
    <mergeCell ref="B28:B30"/>
    <mergeCell ref="BG28:BG30"/>
    <mergeCell ref="A18:A19"/>
    <mergeCell ref="B18:B19"/>
    <mergeCell ref="BG18:BG19"/>
    <mergeCell ref="A21:A22"/>
    <mergeCell ref="B21:B22"/>
    <mergeCell ref="BG21:BG22"/>
    <mergeCell ref="A12:A13"/>
    <mergeCell ref="B12:B13"/>
    <mergeCell ref="BG12:BG13"/>
    <mergeCell ref="A14:A17"/>
    <mergeCell ref="B14:B17"/>
    <mergeCell ref="BG14:BG17"/>
    <mergeCell ref="A6:A8"/>
    <mergeCell ref="B6:B8"/>
    <mergeCell ref="BG6:BG8"/>
    <mergeCell ref="A9:A10"/>
    <mergeCell ref="B9:B10"/>
    <mergeCell ref="BG9:BG10"/>
    <mergeCell ref="AM3:BE3"/>
    <mergeCell ref="A3:A4"/>
    <mergeCell ref="B3:B4"/>
    <mergeCell ref="C3:C4"/>
    <mergeCell ref="H3:W3"/>
    <mergeCell ref="Y3:AL3"/>
  </mergeCells>
  <pageMargins left="0.51181102362204722" right="0.51181102362204722" top="0.55118110236220474" bottom="0.55118110236220474" header="0.11811023622047245" footer="0.11811023622047245"/>
  <pageSetup paperSize="9" scale="56" fitToWidth="2" orientation="landscape" r:id="rId1"/>
  <colBreaks count="1" manualBreakCount="1">
    <brk id="24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5494"/>
  <sheetViews>
    <sheetView view="pageBreakPreview" zoomScaleSheetLayoutView="100" workbookViewId="0">
      <selection activeCell="W29" sqref="W29"/>
    </sheetView>
  </sheetViews>
  <sheetFormatPr defaultColWidth="11.42578125" defaultRowHeight="15"/>
  <cols>
    <col min="1" max="1" width="4" style="141" customWidth="1"/>
    <col min="2" max="2" width="22.5703125" style="141" customWidth="1"/>
    <col min="3" max="3" width="13.85546875" style="141" customWidth="1"/>
    <col min="4" max="21" width="6.7109375" style="141" customWidth="1"/>
    <col min="22" max="22" width="10" style="141" customWidth="1"/>
    <col min="23" max="23" width="8" style="142" customWidth="1"/>
    <col min="24" max="16384" width="11.42578125" style="141"/>
  </cols>
  <sheetData>
    <row r="1" spans="1:55">
      <c r="B1" s="178"/>
      <c r="C1" s="178" t="s">
        <v>271</v>
      </c>
      <c r="D1" s="178"/>
      <c r="E1" s="178"/>
      <c r="F1" s="178"/>
      <c r="G1" s="178"/>
      <c r="H1" s="395"/>
      <c r="I1" s="395"/>
      <c r="J1" s="395"/>
      <c r="K1" s="395"/>
      <c r="L1" s="395"/>
      <c r="M1" s="395"/>
      <c r="N1" s="395"/>
      <c r="O1" s="395"/>
      <c r="P1" s="178"/>
      <c r="Q1" s="178"/>
      <c r="R1" s="178"/>
      <c r="S1" s="178"/>
      <c r="T1" s="178"/>
      <c r="U1" s="178"/>
      <c r="V1" s="178"/>
      <c r="W1" s="177"/>
    </row>
    <row r="2" spans="1:55">
      <c r="C2" s="674" t="s">
        <v>443</v>
      </c>
      <c r="D2" s="675"/>
      <c r="E2" s="675"/>
      <c r="F2" s="675"/>
      <c r="G2" s="675"/>
      <c r="H2" s="675"/>
      <c r="I2" s="675"/>
      <c r="J2" s="675"/>
      <c r="K2" s="675"/>
      <c r="L2" s="675"/>
      <c r="M2" s="389"/>
      <c r="N2" s="389"/>
      <c r="O2" s="389"/>
      <c r="P2" s="393"/>
      <c r="Q2" s="393"/>
      <c r="R2" s="393"/>
      <c r="S2" s="393"/>
      <c r="T2" s="676" t="s">
        <v>400</v>
      </c>
      <c r="U2" s="676"/>
    </row>
    <row r="4" spans="1:55" ht="15.75">
      <c r="A4" s="677" t="s">
        <v>75</v>
      </c>
      <c r="B4" s="677" t="s">
        <v>106</v>
      </c>
      <c r="C4" s="677" t="s">
        <v>107</v>
      </c>
      <c r="D4" s="678"/>
      <c r="E4" s="678"/>
      <c r="F4" s="678"/>
      <c r="G4" s="678"/>
      <c r="H4" s="678"/>
      <c r="I4" s="678"/>
      <c r="J4" s="678"/>
      <c r="K4" s="678"/>
      <c r="L4" s="678"/>
      <c r="M4" s="678"/>
      <c r="N4" s="678"/>
      <c r="O4" s="678"/>
      <c r="P4" s="678"/>
      <c r="Q4" s="678"/>
      <c r="R4" s="678"/>
      <c r="S4" s="678"/>
      <c r="T4" s="678"/>
      <c r="U4" s="678"/>
      <c r="V4" s="678"/>
      <c r="W4" s="176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</row>
    <row r="5" spans="1:55" ht="15.75">
      <c r="A5" s="677"/>
      <c r="B5" s="677"/>
      <c r="C5" s="677"/>
      <c r="D5" s="173" t="s">
        <v>260</v>
      </c>
      <c r="E5" s="173" t="s">
        <v>259</v>
      </c>
      <c r="F5" s="173" t="s">
        <v>258</v>
      </c>
      <c r="G5" s="156" t="s">
        <v>257</v>
      </c>
      <c r="H5" s="156" t="s">
        <v>256</v>
      </c>
      <c r="I5" s="156" t="s">
        <v>255</v>
      </c>
      <c r="J5" s="156" t="s">
        <v>254</v>
      </c>
      <c r="K5" s="173" t="s">
        <v>253</v>
      </c>
      <c r="L5" s="175" t="s">
        <v>109</v>
      </c>
      <c r="M5" s="156" t="s">
        <v>252</v>
      </c>
      <c r="N5" s="156" t="s">
        <v>263</v>
      </c>
      <c r="O5" s="156" t="s">
        <v>315</v>
      </c>
      <c r="P5" s="156" t="s">
        <v>251</v>
      </c>
      <c r="Q5" s="173" t="s">
        <v>250</v>
      </c>
      <c r="R5" s="173" t="s">
        <v>261</v>
      </c>
      <c r="S5" s="173" t="s">
        <v>386</v>
      </c>
      <c r="T5" s="174" t="s">
        <v>402</v>
      </c>
      <c r="U5" s="173" t="s">
        <v>248</v>
      </c>
      <c r="V5" s="394" t="s">
        <v>110</v>
      </c>
      <c r="W5" s="394" t="s">
        <v>111</v>
      </c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</row>
    <row r="6" spans="1:55" s="142" customFormat="1" ht="15.75">
      <c r="A6" s="672" t="s">
        <v>133</v>
      </c>
      <c r="B6" s="672"/>
      <c r="C6" s="672"/>
      <c r="D6" s="392">
        <v>15</v>
      </c>
      <c r="E6" s="392">
        <v>23</v>
      </c>
      <c r="F6" s="392">
        <v>15</v>
      </c>
      <c r="G6" s="392">
        <v>13</v>
      </c>
      <c r="H6" s="392">
        <v>11</v>
      </c>
      <c r="I6" s="392">
        <v>9</v>
      </c>
      <c r="J6" s="392">
        <v>6</v>
      </c>
      <c r="K6" s="392">
        <v>7</v>
      </c>
      <c r="L6" s="394">
        <f t="shared" ref="L6:L27" si="0">SUM(D6:K6)</f>
        <v>99</v>
      </c>
      <c r="M6" s="394">
        <v>21</v>
      </c>
      <c r="N6" s="394">
        <v>17</v>
      </c>
      <c r="O6" s="394">
        <v>9</v>
      </c>
      <c r="P6" s="172">
        <v>8</v>
      </c>
      <c r="Q6" s="392">
        <v>7</v>
      </c>
      <c r="R6" s="392">
        <v>11</v>
      </c>
      <c r="S6" s="392">
        <v>10</v>
      </c>
      <c r="T6" s="171" t="s">
        <v>403</v>
      </c>
      <c r="U6" s="392">
        <v>2</v>
      </c>
      <c r="V6" s="394">
        <v>97</v>
      </c>
      <c r="W6" s="170">
        <v>196</v>
      </c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</row>
    <row r="7" spans="1:55" s="395" customFormat="1" ht="18" customHeight="1">
      <c r="A7" s="162">
        <v>1</v>
      </c>
      <c r="B7" s="405" t="s">
        <v>145</v>
      </c>
      <c r="C7" s="162" t="s">
        <v>191</v>
      </c>
      <c r="D7" s="160"/>
      <c r="E7" s="160"/>
      <c r="F7" s="160"/>
      <c r="G7" s="160"/>
      <c r="H7" s="160"/>
      <c r="I7" s="160"/>
      <c r="J7" s="160"/>
      <c r="K7" s="160"/>
      <c r="L7" s="159">
        <f t="shared" si="0"/>
        <v>0</v>
      </c>
      <c r="M7" s="159"/>
      <c r="N7" s="159"/>
      <c r="O7" s="406">
        <v>0.5</v>
      </c>
      <c r="P7" s="160">
        <v>1</v>
      </c>
      <c r="Q7" s="160">
        <v>1</v>
      </c>
      <c r="R7" s="160"/>
      <c r="S7" s="160"/>
      <c r="T7" s="160">
        <v>1</v>
      </c>
      <c r="U7" s="160">
        <v>1</v>
      </c>
      <c r="V7" s="155">
        <f>SUM(M7:U7)</f>
        <v>4.5</v>
      </c>
      <c r="W7" s="159">
        <f>SUM(L7+V7)</f>
        <v>4.5</v>
      </c>
    </row>
    <row r="8" spans="1:55" s="395" customFormat="1" ht="12.75" customHeight="1">
      <c r="A8" s="249">
        <v>2</v>
      </c>
      <c r="B8" s="407" t="s">
        <v>147</v>
      </c>
      <c r="C8" s="168" t="s">
        <v>167</v>
      </c>
      <c r="D8" s="164"/>
      <c r="E8" s="164"/>
      <c r="F8" s="164"/>
      <c r="G8" s="164"/>
      <c r="H8" s="164"/>
      <c r="I8" s="164"/>
      <c r="J8" s="164"/>
      <c r="K8" s="164"/>
      <c r="L8" s="159">
        <f t="shared" si="0"/>
        <v>0</v>
      </c>
      <c r="M8" s="159"/>
      <c r="N8" s="159"/>
      <c r="O8" s="159"/>
      <c r="P8" s="166"/>
      <c r="Q8" s="160"/>
      <c r="R8" s="160"/>
      <c r="S8" s="160"/>
      <c r="T8" s="164">
        <v>1</v>
      </c>
      <c r="U8" s="164">
        <v>1</v>
      </c>
      <c r="V8" s="155">
        <f t="shared" ref="V8:V10" si="1">SUM(M8:U8)</f>
        <v>2</v>
      </c>
      <c r="W8" s="159">
        <f t="shared" ref="W8:W26" si="2">SUM(L8+V8)</f>
        <v>2</v>
      </c>
    </row>
    <row r="9" spans="1:55" s="395" customFormat="1" ht="12.75" customHeight="1">
      <c r="A9" s="248">
        <v>3</v>
      </c>
      <c r="B9" s="407" t="s">
        <v>247</v>
      </c>
      <c r="C9" s="168" t="s">
        <v>246</v>
      </c>
      <c r="D9" s="160"/>
      <c r="E9" s="160"/>
      <c r="F9" s="160"/>
      <c r="G9" s="160"/>
      <c r="H9" s="160"/>
      <c r="I9" s="160"/>
      <c r="J9" s="160"/>
      <c r="K9" s="160"/>
      <c r="L9" s="159">
        <f t="shared" si="0"/>
        <v>0</v>
      </c>
      <c r="M9" s="159"/>
      <c r="N9" s="159"/>
      <c r="O9" s="159"/>
      <c r="P9" s="160"/>
      <c r="Q9" s="160"/>
      <c r="R9" s="160">
        <v>2.5</v>
      </c>
      <c r="S9" s="160">
        <v>2.5</v>
      </c>
      <c r="T9" s="166">
        <v>2.5</v>
      </c>
      <c r="U9" s="164">
        <v>2.5</v>
      </c>
      <c r="V9" s="155">
        <f t="shared" si="1"/>
        <v>10</v>
      </c>
      <c r="W9" s="159">
        <f t="shared" si="2"/>
        <v>10</v>
      </c>
      <c r="X9" s="395" t="s">
        <v>43</v>
      </c>
    </row>
    <row r="10" spans="1:55" s="395" customFormat="1" ht="15" customHeight="1">
      <c r="A10" s="249">
        <v>4</v>
      </c>
      <c r="B10" s="405" t="s">
        <v>388</v>
      </c>
      <c r="C10" s="167" t="s">
        <v>270</v>
      </c>
      <c r="D10" s="166"/>
      <c r="E10" s="166"/>
      <c r="F10" s="166"/>
      <c r="G10" s="166"/>
      <c r="H10" s="166"/>
      <c r="I10" s="166"/>
      <c r="J10" s="166"/>
      <c r="K10" s="166"/>
      <c r="L10" s="159">
        <f t="shared" si="0"/>
        <v>0</v>
      </c>
      <c r="M10" s="159">
        <v>5</v>
      </c>
      <c r="N10" s="159">
        <v>5</v>
      </c>
      <c r="O10" s="159"/>
      <c r="P10" s="160">
        <v>2.5</v>
      </c>
      <c r="Q10" s="160">
        <v>2.5</v>
      </c>
      <c r="R10" s="160">
        <v>2.5</v>
      </c>
      <c r="S10" s="166"/>
      <c r="T10" s="166"/>
      <c r="U10" s="164"/>
      <c r="V10" s="155">
        <f t="shared" si="1"/>
        <v>17.5</v>
      </c>
      <c r="W10" s="159">
        <f t="shared" si="2"/>
        <v>17.5</v>
      </c>
    </row>
    <row r="11" spans="1:55" s="395" customFormat="1" ht="16.5" customHeight="1">
      <c r="A11" s="162">
        <v>5</v>
      </c>
      <c r="B11" s="405" t="s">
        <v>397</v>
      </c>
      <c r="C11" s="167" t="s">
        <v>246</v>
      </c>
      <c r="D11" s="166"/>
      <c r="E11" s="166"/>
      <c r="F11" s="166"/>
      <c r="G11" s="166"/>
      <c r="H11" s="166"/>
      <c r="I11" s="166"/>
      <c r="J11" s="166"/>
      <c r="K11" s="166"/>
      <c r="L11" s="159">
        <f t="shared" si="0"/>
        <v>0</v>
      </c>
      <c r="M11" s="159">
        <v>5</v>
      </c>
      <c r="N11" s="159"/>
      <c r="O11" s="159">
        <v>2.5</v>
      </c>
      <c r="P11" s="166"/>
      <c r="Q11" s="166"/>
      <c r="R11" s="166"/>
      <c r="S11" s="166"/>
      <c r="T11" s="166"/>
      <c r="U11" s="166"/>
      <c r="V11" s="155">
        <f>SUM(M11:U11)</f>
        <v>7.5</v>
      </c>
      <c r="W11" s="159">
        <f t="shared" si="2"/>
        <v>7.5</v>
      </c>
    </row>
    <row r="12" spans="1:55" s="395" customFormat="1" ht="17.25" customHeight="1">
      <c r="A12" s="249">
        <v>6</v>
      </c>
      <c r="B12" s="408" t="s">
        <v>220</v>
      </c>
      <c r="C12" s="167" t="s">
        <v>254</v>
      </c>
      <c r="D12" s="166"/>
      <c r="E12" s="166"/>
      <c r="F12" s="166"/>
      <c r="G12" s="166"/>
      <c r="H12" s="166"/>
      <c r="I12" s="166"/>
      <c r="J12" s="166">
        <v>9</v>
      </c>
      <c r="K12" s="166"/>
      <c r="L12" s="159">
        <f t="shared" si="0"/>
        <v>9</v>
      </c>
      <c r="M12" s="159"/>
      <c r="N12" s="159"/>
      <c r="O12" s="159"/>
      <c r="P12" s="166"/>
      <c r="Q12" s="166"/>
      <c r="R12" s="166"/>
      <c r="S12" s="166"/>
      <c r="T12" s="166"/>
      <c r="U12" s="166"/>
      <c r="V12" s="155">
        <f t="shared" ref="V12:V25" si="3">SUM(M12:U12)</f>
        <v>0</v>
      </c>
      <c r="W12" s="159">
        <f t="shared" si="2"/>
        <v>9</v>
      </c>
    </row>
    <row r="13" spans="1:55" s="395" customFormat="1" ht="15.75" customHeight="1">
      <c r="A13" s="162">
        <v>7</v>
      </c>
      <c r="B13" s="409" t="s">
        <v>279</v>
      </c>
      <c r="C13" s="161" t="s">
        <v>259</v>
      </c>
      <c r="D13" s="166"/>
      <c r="E13" s="166">
        <v>18</v>
      </c>
      <c r="F13" s="166"/>
      <c r="G13" s="166"/>
      <c r="H13" s="166"/>
      <c r="I13" s="166"/>
      <c r="J13" s="166"/>
      <c r="K13" s="166"/>
      <c r="L13" s="159">
        <f t="shared" si="0"/>
        <v>18</v>
      </c>
      <c r="M13" s="159"/>
      <c r="N13" s="159"/>
      <c r="O13" s="159"/>
      <c r="P13" s="166"/>
      <c r="Q13" s="166"/>
      <c r="R13" s="166"/>
      <c r="S13" s="166"/>
      <c r="T13" s="166"/>
      <c r="U13" s="166"/>
      <c r="V13" s="155">
        <f t="shared" si="3"/>
        <v>0</v>
      </c>
      <c r="W13" s="159">
        <f t="shared" si="2"/>
        <v>18</v>
      </c>
    </row>
    <row r="14" spans="1:55" s="395" customFormat="1" ht="14.25" customHeight="1">
      <c r="A14" s="249">
        <v>8</v>
      </c>
      <c r="B14" s="410" t="s">
        <v>218</v>
      </c>
      <c r="C14" s="167" t="s">
        <v>257</v>
      </c>
      <c r="D14" s="166"/>
      <c r="E14" s="166"/>
      <c r="F14" s="166"/>
      <c r="G14" s="166">
        <v>9</v>
      </c>
      <c r="H14" s="166"/>
      <c r="I14" s="166"/>
      <c r="J14" s="166"/>
      <c r="K14" s="166"/>
      <c r="L14" s="159">
        <f t="shared" si="0"/>
        <v>9</v>
      </c>
      <c r="M14" s="159"/>
      <c r="N14" s="159"/>
      <c r="O14" s="159"/>
      <c r="P14" s="166"/>
      <c r="Q14" s="166"/>
      <c r="R14" s="166"/>
      <c r="S14" s="166"/>
      <c r="T14" s="166"/>
      <c r="U14" s="166"/>
      <c r="V14" s="155">
        <f t="shared" si="3"/>
        <v>0</v>
      </c>
      <c r="W14" s="159">
        <f t="shared" si="2"/>
        <v>9</v>
      </c>
    </row>
    <row r="15" spans="1:55" s="395" customFormat="1" ht="14.25" customHeight="1">
      <c r="A15" s="162">
        <v>9</v>
      </c>
      <c r="B15" s="410" t="s">
        <v>236</v>
      </c>
      <c r="C15" s="167" t="s">
        <v>253</v>
      </c>
      <c r="D15" s="166"/>
      <c r="E15" s="166"/>
      <c r="F15" s="166"/>
      <c r="G15" s="166"/>
      <c r="H15" s="166"/>
      <c r="I15" s="166"/>
      <c r="J15" s="166"/>
      <c r="K15" s="166">
        <v>9</v>
      </c>
      <c r="L15" s="159">
        <f t="shared" si="0"/>
        <v>9</v>
      </c>
      <c r="M15" s="159"/>
      <c r="N15" s="159"/>
      <c r="O15" s="159"/>
      <c r="P15" s="166"/>
      <c r="Q15" s="166"/>
      <c r="R15" s="166"/>
      <c r="S15" s="166"/>
      <c r="T15" s="166"/>
      <c r="U15" s="166"/>
      <c r="V15" s="155">
        <f t="shared" si="3"/>
        <v>0</v>
      </c>
      <c r="W15" s="159">
        <f t="shared" si="2"/>
        <v>9</v>
      </c>
    </row>
    <row r="16" spans="1:55" s="395" customFormat="1" ht="17.25" customHeight="1">
      <c r="A16" s="249">
        <v>10</v>
      </c>
      <c r="B16" s="405" t="s">
        <v>237</v>
      </c>
      <c r="C16" s="162" t="s">
        <v>256</v>
      </c>
      <c r="D16" s="160">
        <v>9</v>
      </c>
      <c r="E16" s="160"/>
      <c r="F16" s="160"/>
      <c r="G16" s="160"/>
      <c r="H16" s="160"/>
      <c r="I16" s="160"/>
      <c r="J16" s="160"/>
      <c r="K16" s="160"/>
      <c r="L16" s="159">
        <f t="shared" si="0"/>
        <v>9</v>
      </c>
      <c r="M16" s="159"/>
      <c r="N16" s="159"/>
      <c r="O16" s="159"/>
      <c r="P16" s="160"/>
      <c r="Q16" s="160"/>
      <c r="R16" s="160"/>
      <c r="S16" s="160"/>
      <c r="T16" s="160"/>
      <c r="U16" s="160"/>
      <c r="V16" s="155">
        <f t="shared" si="3"/>
        <v>0</v>
      </c>
      <c r="W16" s="159">
        <f t="shared" si="2"/>
        <v>9</v>
      </c>
    </row>
    <row r="17" spans="1:23" s="395" customFormat="1" ht="17.25" customHeight="1">
      <c r="A17" s="162">
        <v>11</v>
      </c>
      <c r="B17" s="165" t="s">
        <v>231</v>
      </c>
      <c r="C17" s="162" t="s">
        <v>269</v>
      </c>
      <c r="D17" s="160"/>
      <c r="E17" s="160"/>
      <c r="F17" s="160"/>
      <c r="G17" s="160"/>
      <c r="H17" s="160"/>
      <c r="I17" s="160"/>
      <c r="J17" s="160"/>
      <c r="K17" s="160"/>
      <c r="L17" s="159">
        <f t="shared" si="0"/>
        <v>0</v>
      </c>
      <c r="M17" s="159"/>
      <c r="N17" s="159"/>
      <c r="O17" s="159">
        <v>1</v>
      </c>
      <c r="P17" s="160">
        <v>1</v>
      </c>
      <c r="Q17" s="160">
        <v>1</v>
      </c>
      <c r="R17" s="160"/>
      <c r="S17" s="160"/>
      <c r="T17" s="164">
        <v>1</v>
      </c>
      <c r="U17" s="164">
        <v>1</v>
      </c>
      <c r="V17" s="155">
        <f t="shared" si="3"/>
        <v>5</v>
      </c>
      <c r="W17" s="159">
        <f t="shared" si="2"/>
        <v>5</v>
      </c>
    </row>
    <row r="18" spans="1:23" s="395" customFormat="1" ht="18" customHeight="1">
      <c r="A18" s="249">
        <v>12</v>
      </c>
      <c r="B18" s="411" t="s">
        <v>224</v>
      </c>
      <c r="C18" s="163" t="s">
        <v>342</v>
      </c>
      <c r="D18" s="160"/>
      <c r="E18" s="160"/>
      <c r="F18" s="160"/>
      <c r="G18" s="160"/>
      <c r="H18" s="160">
        <v>1</v>
      </c>
      <c r="I18" s="160">
        <v>1.5</v>
      </c>
      <c r="J18" s="160">
        <v>1.5</v>
      </c>
      <c r="K18" s="160">
        <v>2</v>
      </c>
      <c r="L18" s="159">
        <f t="shared" si="0"/>
        <v>6</v>
      </c>
      <c r="M18" s="159">
        <v>3</v>
      </c>
      <c r="N18" s="159">
        <v>3</v>
      </c>
      <c r="O18" s="159">
        <v>1.5</v>
      </c>
      <c r="P18" s="160">
        <v>1.5</v>
      </c>
      <c r="Q18" s="160">
        <v>1.5</v>
      </c>
      <c r="R18" s="160"/>
      <c r="S18" s="160"/>
      <c r="T18" s="160"/>
      <c r="U18" s="160"/>
      <c r="V18" s="155">
        <f t="shared" si="3"/>
        <v>10.5</v>
      </c>
      <c r="W18" s="159">
        <f t="shared" si="2"/>
        <v>16.5</v>
      </c>
    </row>
    <row r="19" spans="1:23" s="395" customFormat="1" ht="18" customHeight="1">
      <c r="A19" s="162">
        <v>13</v>
      </c>
      <c r="B19" s="411" t="s">
        <v>268</v>
      </c>
      <c r="C19" s="163" t="s">
        <v>267</v>
      </c>
      <c r="D19" s="160"/>
      <c r="E19" s="160">
        <v>4</v>
      </c>
      <c r="F19" s="160">
        <v>2</v>
      </c>
      <c r="G19" s="160"/>
      <c r="H19" s="160"/>
      <c r="I19" s="160"/>
      <c r="J19" s="160"/>
      <c r="K19" s="160"/>
      <c r="L19" s="159">
        <f t="shared" si="0"/>
        <v>6</v>
      </c>
      <c r="M19" s="159"/>
      <c r="N19" s="159"/>
      <c r="O19" s="159"/>
      <c r="P19" s="160"/>
      <c r="Q19" s="160"/>
      <c r="R19" s="160">
        <v>2.5</v>
      </c>
      <c r="S19" s="160">
        <v>2.5</v>
      </c>
      <c r="T19" s="160">
        <v>2.5</v>
      </c>
      <c r="U19" s="160">
        <v>2.5</v>
      </c>
      <c r="V19" s="155">
        <f t="shared" si="3"/>
        <v>10</v>
      </c>
      <c r="W19" s="159">
        <f t="shared" si="2"/>
        <v>16</v>
      </c>
    </row>
    <row r="20" spans="1:23" s="395" customFormat="1" ht="16.5" customHeight="1">
      <c r="A20" s="249">
        <v>14</v>
      </c>
      <c r="B20" s="410" t="s">
        <v>226</v>
      </c>
      <c r="C20" s="162" t="s">
        <v>265</v>
      </c>
      <c r="D20" s="160"/>
      <c r="E20" s="160"/>
      <c r="F20" s="160"/>
      <c r="G20" s="160"/>
      <c r="H20" s="160"/>
      <c r="I20" s="160"/>
      <c r="J20" s="160"/>
      <c r="K20" s="160"/>
      <c r="L20" s="159">
        <f t="shared" si="0"/>
        <v>0</v>
      </c>
      <c r="M20" s="159">
        <v>3</v>
      </c>
      <c r="N20" s="159">
        <v>3</v>
      </c>
      <c r="O20" s="159">
        <v>1.5</v>
      </c>
      <c r="P20" s="160">
        <v>1.5</v>
      </c>
      <c r="Q20" s="160">
        <v>1.5</v>
      </c>
      <c r="R20" s="160">
        <v>1.5</v>
      </c>
      <c r="S20" s="160"/>
      <c r="T20" s="160">
        <v>1.5</v>
      </c>
      <c r="U20" s="160">
        <v>1.5</v>
      </c>
      <c r="V20" s="155">
        <f t="shared" si="3"/>
        <v>15</v>
      </c>
      <c r="W20" s="159">
        <f t="shared" si="2"/>
        <v>15</v>
      </c>
    </row>
    <row r="21" spans="1:23" s="395" customFormat="1" ht="16.5" customHeight="1">
      <c r="A21" s="162">
        <v>15</v>
      </c>
      <c r="B21" s="410" t="s">
        <v>183</v>
      </c>
      <c r="C21" s="162" t="s">
        <v>246</v>
      </c>
      <c r="D21" s="160"/>
      <c r="E21" s="160"/>
      <c r="F21" s="160"/>
      <c r="G21" s="160"/>
      <c r="H21" s="160"/>
      <c r="I21" s="160"/>
      <c r="J21" s="160"/>
      <c r="K21" s="160"/>
      <c r="L21" s="159">
        <f t="shared" si="0"/>
        <v>0</v>
      </c>
      <c r="M21" s="159"/>
      <c r="N21" s="159">
        <v>5</v>
      </c>
      <c r="O21" s="159"/>
      <c r="P21" s="160">
        <v>2.5</v>
      </c>
      <c r="Q21" s="160">
        <v>2.5</v>
      </c>
      <c r="R21" s="160"/>
      <c r="S21" s="160"/>
      <c r="T21" s="160"/>
      <c r="U21" s="160"/>
      <c r="V21" s="155">
        <f t="shared" si="3"/>
        <v>10</v>
      </c>
      <c r="W21" s="159">
        <f t="shared" si="2"/>
        <v>10</v>
      </c>
    </row>
    <row r="22" spans="1:23" s="395" customFormat="1" ht="16.5" customHeight="1">
      <c r="A22" s="249">
        <v>16</v>
      </c>
      <c r="B22" s="410" t="s">
        <v>278</v>
      </c>
      <c r="C22" s="161" t="s">
        <v>266</v>
      </c>
      <c r="D22" s="160"/>
      <c r="E22" s="160"/>
      <c r="F22" s="160"/>
      <c r="G22" s="160"/>
      <c r="H22" s="160"/>
      <c r="I22" s="160"/>
      <c r="J22" s="160"/>
      <c r="K22" s="160"/>
      <c r="L22" s="159">
        <f t="shared" si="0"/>
        <v>0</v>
      </c>
      <c r="M22" s="159"/>
      <c r="N22" s="159"/>
      <c r="O22" s="159">
        <v>2.5</v>
      </c>
      <c r="P22" s="160"/>
      <c r="Q22" s="160"/>
      <c r="R22" s="160"/>
      <c r="S22" s="160">
        <v>2.5</v>
      </c>
      <c r="T22" s="160">
        <v>2.5</v>
      </c>
      <c r="U22" s="160">
        <v>2.5</v>
      </c>
      <c r="V22" s="155">
        <f t="shared" si="3"/>
        <v>10</v>
      </c>
      <c r="W22" s="159">
        <f t="shared" si="2"/>
        <v>10</v>
      </c>
    </row>
    <row r="23" spans="1:23" s="395" customFormat="1" ht="16.5" customHeight="1">
      <c r="A23" s="162">
        <v>17</v>
      </c>
      <c r="B23" s="410" t="s">
        <v>232</v>
      </c>
      <c r="C23" s="161" t="s">
        <v>265</v>
      </c>
      <c r="D23" s="160">
        <v>2</v>
      </c>
      <c r="E23" s="160">
        <v>4</v>
      </c>
      <c r="F23" s="160">
        <v>2</v>
      </c>
      <c r="G23" s="160">
        <v>1</v>
      </c>
      <c r="H23" s="160">
        <v>1</v>
      </c>
      <c r="I23" s="160">
        <v>1</v>
      </c>
      <c r="J23" s="160">
        <v>1</v>
      </c>
      <c r="K23" s="160">
        <v>1</v>
      </c>
      <c r="L23" s="159">
        <f t="shared" si="0"/>
        <v>13</v>
      </c>
      <c r="M23" s="159"/>
      <c r="N23" s="159"/>
      <c r="O23" s="159"/>
      <c r="P23" s="160"/>
      <c r="Q23" s="160"/>
      <c r="R23" s="160"/>
      <c r="S23" s="160">
        <v>1.5</v>
      </c>
      <c r="T23" s="160"/>
      <c r="U23" s="160"/>
      <c r="V23" s="155">
        <f>SUM(M23:U23)</f>
        <v>1.5</v>
      </c>
      <c r="W23" s="159">
        <f t="shared" si="2"/>
        <v>14.5</v>
      </c>
    </row>
    <row r="24" spans="1:23" s="395" customFormat="1" ht="16.5" customHeight="1">
      <c r="A24" s="249">
        <v>18</v>
      </c>
      <c r="B24" s="410" t="s">
        <v>277</v>
      </c>
      <c r="C24" s="161" t="s">
        <v>260</v>
      </c>
      <c r="D24" s="160">
        <v>18</v>
      </c>
      <c r="E24" s="160"/>
      <c r="F24" s="160"/>
      <c r="G24" s="160"/>
      <c r="H24" s="160"/>
      <c r="I24" s="160"/>
      <c r="J24" s="160"/>
      <c r="K24" s="160"/>
      <c r="L24" s="159">
        <f t="shared" si="0"/>
        <v>18</v>
      </c>
      <c r="M24" s="159"/>
      <c r="N24" s="159"/>
      <c r="O24" s="159"/>
      <c r="P24" s="160"/>
      <c r="Q24" s="160"/>
      <c r="R24" s="160"/>
      <c r="S24" s="160"/>
      <c r="T24" s="160"/>
      <c r="U24" s="160"/>
      <c r="V24" s="155">
        <f t="shared" si="3"/>
        <v>0</v>
      </c>
      <c r="W24" s="159">
        <f t="shared" si="2"/>
        <v>18</v>
      </c>
    </row>
    <row r="25" spans="1:23" s="395" customFormat="1" ht="16.5" customHeight="1">
      <c r="A25" s="162">
        <v>19</v>
      </c>
      <c r="B25" s="410" t="s">
        <v>280</v>
      </c>
      <c r="C25" s="161" t="s">
        <v>258</v>
      </c>
      <c r="D25" s="160"/>
      <c r="E25" s="160"/>
      <c r="F25" s="160">
        <v>18</v>
      </c>
      <c r="G25" s="160"/>
      <c r="H25" s="160"/>
      <c r="I25" s="160"/>
      <c r="J25" s="160"/>
      <c r="K25" s="160"/>
      <c r="L25" s="159">
        <f t="shared" si="0"/>
        <v>18</v>
      </c>
      <c r="M25" s="159"/>
      <c r="N25" s="159"/>
      <c r="O25" s="159"/>
      <c r="P25" s="160"/>
      <c r="Q25" s="160"/>
      <c r="R25" s="160"/>
      <c r="S25" s="160"/>
      <c r="T25" s="160"/>
      <c r="U25" s="160"/>
      <c r="V25" s="155">
        <f t="shared" si="3"/>
        <v>0</v>
      </c>
      <c r="W25" s="159">
        <f t="shared" si="2"/>
        <v>18</v>
      </c>
    </row>
    <row r="26" spans="1:23" s="395" customFormat="1" ht="16.5" customHeight="1">
      <c r="A26" s="249">
        <v>20</v>
      </c>
      <c r="B26" s="410" t="s">
        <v>394</v>
      </c>
      <c r="C26" s="161" t="s">
        <v>167</v>
      </c>
      <c r="D26" s="160"/>
      <c r="E26" s="160"/>
      <c r="F26" s="160"/>
      <c r="G26" s="160"/>
      <c r="H26" s="160"/>
      <c r="I26" s="160"/>
      <c r="J26" s="160"/>
      <c r="K26" s="160"/>
      <c r="L26" s="159">
        <f t="shared" si="0"/>
        <v>0</v>
      </c>
      <c r="M26" s="159"/>
      <c r="N26" s="159"/>
      <c r="O26" s="159">
        <v>1</v>
      </c>
      <c r="P26" s="160">
        <v>1</v>
      </c>
      <c r="Q26" s="160">
        <v>1</v>
      </c>
      <c r="R26" s="160"/>
      <c r="S26" s="160"/>
      <c r="T26" s="160"/>
      <c r="U26" s="160"/>
      <c r="V26" s="155">
        <f t="shared" ref="V26" si="4">SUM(M26:U26)</f>
        <v>3</v>
      </c>
      <c r="W26" s="159">
        <f t="shared" si="2"/>
        <v>3</v>
      </c>
    </row>
    <row r="27" spans="1:23" s="452" customFormat="1" ht="16.5" customHeight="1">
      <c r="A27" s="249">
        <v>21</v>
      </c>
      <c r="B27" s="410" t="s">
        <v>398</v>
      </c>
      <c r="C27" s="161" t="s">
        <v>255</v>
      </c>
      <c r="D27" s="160"/>
      <c r="E27" s="160"/>
      <c r="F27" s="160"/>
      <c r="G27" s="160"/>
      <c r="H27" s="160"/>
      <c r="I27" s="160">
        <v>9</v>
      </c>
      <c r="J27" s="160"/>
      <c r="K27" s="160"/>
      <c r="L27" s="159">
        <f t="shared" si="0"/>
        <v>9</v>
      </c>
      <c r="M27" s="159"/>
      <c r="N27" s="159"/>
      <c r="O27" s="159"/>
      <c r="P27" s="160"/>
      <c r="Q27" s="160"/>
      <c r="R27" s="160"/>
      <c r="S27" s="160"/>
      <c r="T27" s="160"/>
      <c r="U27" s="160"/>
      <c r="V27" s="155">
        <f t="shared" ref="V27" si="5">SUM(M27:U27)</f>
        <v>0</v>
      </c>
      <c r="W27" s="159">
        <f t="shared" ref="W27" si="6">SUM(L27+V27)</f>
        <v>9</v>
      </c>
    </row>
    <row r="28" spans="1:23" s="395" customFormat="1" ht="16.5" customHeight="1">
      <c r="A28" s="158"/>
      <c r="B28" s="157" t="s">
        <v>112</v>
      </c>
      <c r="C28" s="156"/>
      <c r="D28" s="155">
        <f>SUM(D7:D27)</f>
        <v>29</v>
      </c>
      <c r="E28" s="155">
        <f t="shared" ref="E28:V28" si="7">SUM(E7:E27)</f>
        <v>26</v>
      </c>
      <c r="F28" s="155">
        <f t="shared" si="7"/>
        <v>22</v>
      </c>
      <c r="G28" s="155">
        <f t="shared" si="7"/>
        <v>10</v>
      </c>
      <c r="H28" s="155">
        <f t="shared" si="7"/>
        <v>2</v>
      </c>
      <c r="I28" s="155">
        <f t="shared" si="7"/>
        <v>11.5</v>
      </c>
      <c r="J28" s="155">
        <f t="shared" si="7"/>
        <v>11.5</v>
      </c>
      <c r="K28" s="155">
        <f t="shared" si="7"/>
        <v>12</v>
      </c>
      <c r="L28" s="155">
        <f t="shared" si="7"/>
        <v>124</v>
      </c>
      <c r="M28" s="155">
        <f t="shared" si="7"/>
        <v>16</v>
      </c>
      <c r="N28" s="155">
        <f t="shared" si="7"/>
        <v>16</v>
      </c>
      <c r="O28" s="155">
        <f t="shared" si="7"/>
        <v>10.5</v>
      </c>
      <c r="P28" s="155">
        <f t="shared" si="7"/>
        <v>11</v>
      </c>
      <c r="Q28" s="155">
        <f t="shared" si="7"/>
        <v>11</v>
      </c>
      <c r="R28" s="155">
        <f t="shared" si="7"/>
        <v>9</v>
      </c>
      <c r="S28" s="155">
        <f t="shared" si="7"/>
        <v>9</v>
      </c>
      <c r="T28" s="155">
        <f t="shared" si="7"/>
        <v>12</v>
      </c>
      <c r="U28" s="155">
        <f t="shared" si="7"/>
        <v>12</v>
      </c>
      <c r="V28" s="155">
        <f t="shared" si="7"/>
        <v>106.5</v>
      </c>
      <c r="W28" s="155">
        <f>SUM(W7:W27)</f>
        <v>230.5</v>
      </c>
    </row>
    <row r="30" spans="1:23" ht="15" customHeight="1">
      <c r="B30" s="673" t="s">
        <v>217</v>
      </c>
      <c r="C30" s="673"/>
      <c r="D30" s="121"/>
      <c r="E30" s="121"/>
      <c r="F30" s="121"/>
      <c r="G30" s="121"/>
      <c r="H30" s="145"/>
      <c r="I30" s="145"/>
      <c r="J30" s="145"/>
      <c r="K30" s="121" t="s">
        <v>145</v>
      </c>
      <c r="L30" s="121"/>
      <c r="M30" s="121"/>
      <c r="N30" s="121"/>
      <c r="O30" s="121"/>
    </row>
    <row r="31" spans="1:23" ht="15.75">
      <c r="B31" s="146"/>
      <c r="C31" s="121"/>
      <c r="D31" s="121"/>
      <c r="E31" s="121"/>
      <c r="F31" s="121"/>
      <c r="G31" s="121"/>
      <c r="H31" s="145"/>
      <c r="I31" s="145"/>
      <c r="J31" s="145"/>
      <c r="K31" s="121"/>
      <c r="L31" s="121"/>
      <c r="M31" s="121"/>
      <c r="N31" s="121"/>
      <c r="O31" s="121"/>
    </row>
    <row r="32" spans="1:23" ht="15.75">
      <c r="B32" s="671" t="s">
        <v>216</v>
      </c>
      <c r="C32" s="671"/>
      <c r="D32" s="671"/>
      <c r="E32" s="391"/>
      <c r="F32" s="391"/>
      <c r="G32" s="121"/>
      <c r="H32" s="145"/>
      <c r="I32" s="145"/>
      <c r="J32" s="145"/>
      <c r="K32" s="121" t="s">
        <v>147</v>
      </c>
      <c r="L32" s="121"/>
      <c r="M32" s="121"/>
      <c r="N32" s="121"/>
      <c r="O32" s="121"/>
      <c r="W32" s="141"/>
    </row>
    <row r="65494" spans="23:23" ht="14.25">
      <c r="W65494" s="141"/>
    </row>
  </sheetData>
  <mergeCells count="9">
    <mergeCell ref="A6:C6"/>
    <mergeCell ref="B30:C30"/>
    <mergeCell ref="B32:D32"/>
    <mergeCell ref="C2:L2"/>
    <mergeCell ref="T2:U2"/>
    <mergeCell ref="A4:A5"/>
    <mergeCell ref="B4:B5"/>
    <mergeCell ref="C4:C5"/>
    <mergeCell ref="D4:V4"/>
  </mergeCells>
  <pageMargins left="0.39370078740157483" right="0.39370078740157483" top="0.39370078740157483" bottom="0.39370078740157483" header="0.51181102362204722" footer="0.51181102362204722"/>
  <pageSetup paperSize="9" scale="79" orientation="landscape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SheetLayoutView="75" workbookViewId="0">
      <selection activeCell="C1" sqref="C1:E1"/>
    </sheetView>
  </sheetViews>
  <sheetFormatPr defaultColWidth="11.42578125" defaultRowHeight="14.25"/>
  <cols>
    <col min="1" max="1" width="5.85546875" style="179" customWidth="1"/>
    <col min="2" max="2" width="7.28515625" style="179" customWidth="1"/>
    <col min="3" max="3" width="10.42578125" style="179" customWidth="1"/>
    <col min="4" max="4" width="43.28515625" style="179" customWidth="1"/>
    <col min="5" max="5" width="11.140625" style="179" customWidth="1"/>
    <col min="6" max="6" width="17.85546875" style="179" customWidth="1"/>
    <col min="7" max="16384" width="11.42578125" style="179"/>
  </cols>
  <sheetData>
    <row r="1" spans="1:7">
      <c r="C1" s="675" t="s">
        <v>443</v>
      </c>
      <c r="D1" s="675"/>
      <c r="E1" s="675"/>
      <c r="F1" s="179" t="s">
        <v>400</v>
      </c>
    </row>
    <row r="2" spans="1:7" ht="15">
      <c r="A2" s="679" t="s">
        <v>276</v>
      </c>
      <c r="B2" s="679"/>
      <c r="C2" s="679"/>
      <c r="D2" s="679"/>
      <c r="E2" s="679"/>
      <c r="F2" s="679"/>
      <c r="G2" s="679"/>
    </row>
    <row r="3" spans="1:7" ht="13.5" customHeight="1">
      <c r="A3" s="680" t="s">
        <v>75</v>
      </c>
      <c r="B3" s="680" t="s">
        <v>81</v>
      </c>
      <c r="C3" s="680" t="s">
        <v>82</v>
      </c>
      <c r="D3" s="680" t="s">
        <v>83</v>
      </c>
      <c r="E3" s="681" t="s">
        <v>88</v>
      </c>
      <c r="F3" s="681"/>
      <c r="G3" s="681"/>
    </row>
    <row r="4" spans="1:7" ht="30">
      <c r="A4" s="680"/>
      <c r="B4" s="680"/>
      <c r="C4" s="680"/>
      <c r="D4" s="680"/>
      <c r="E4" s="390" t="s">
        <v>89</v>
      </c>
      <c r="F4" s="390" t="s">
        <v>76</v>
      </c>
      <c r="G4" s="390" t="s">
        <v>86</v>
      </c>
    </row>
    <row r="5" spans="1:7" ht="15.75">
      <c r="A5" s="183">
        <v>1</v>
      </c>
      <c r="B5" s="682" t="s">
        <v>260</v>
      </c>
      <c r="C5" s="682">
        <v>15</v>
      </c>
      <c r="D5" s="184" t="s">
        <v>321</v>
      </c>
      <c r="E5" s="182"/>
      <c r="F5" s="182">
        <v>1</v>
      </c>
      <c r="G5" s="185">
        <f>SUM(E5:F5)</f>
        <v>1</v>
      </c>
    </row>
    <row r="6" spans="1:7" ht="15.75">
      <c r="A6" s="183">
        <v>2</v>
      </c>
      <c r="B6" s="682"/>
      <c r="C6" s="682"/>
      <c r="D6" s="184" t="s">
        <v>322</v>
      </c>
      <c r="E6" s="182"/>
      <c r="F6" s="182">
        <v>1</v>
      </c>
      <c r="G6" s="185">
        <f t="shared" ref="G6:G43" si="0">SUM(E6:F6)</f>
        <v>1</v>
      </c>
    </row>
    <row r="7" spans="1:7" ht="15">
      <c r="A7" s="183">
        <v>3</v>
      </c>
      <c r="B7" s="682" t="s">
        <v>259</v>
      </c>
      <c r="C7" s="683">
        <v>23</v>
      </c>
      <c r="D7" s="182" t="s">
        <v>323</v>
      </c>
      <c r="E7" s="182">
        <v>1</v>
      </c>
      <c r="F7" s="182"/>
      <c r="G7" s="185">
        <f t="shared" si="0"/>
        <v>1</v>
      </c>
    </row>
    <row r="8" spans="1:7" ht="15.75">
      <c r="A8" s="183">
        <v>4</v>
      </c>
      <c r="B8" s="682"/>
      <c r="C8" s="684"/>
      <c r="D8" s="186" t="s">
        <v>324</v>
      </c>
      <c r="E8" s="182"/>
      <c r="F8" s="182">
        <v>1</v>
      </c>
      <c r="G8" s="185">
        <f t="shared" si="0"/>
        <v>1</v>
      </c>
    </row>
    <row r="9" spans="1:7" ht="15">
      <c r="A9" s="183">
        <v>5</v>
      </c>
      <c r="B9" s="682" t="s">
        <v>258</v>
      </c>
      <c r="C9" s="682">
        <v>15</v>
      </c>
      <c r="D9" s="182" t="s">
        <v>323</v>
      </c>
      <c r="E9" s="182"/>
      <c r="F9" s="182">
        <v>1</v>
      </c>
      <c r="G9" s="185">
        <f t="shared" si="0"/>
        <v>1</v>
      </c>
    </row>
    <row r="10" spans="1:7" ht="15">
      <c r="A10" s="183">
        <v>6</v>
      </c>
      <c r="B10" s="682"/>
      <c r="C10" s="682"/>
      <c r="D10" s="182" t="s">
        <v>325</v>
      </c>
      <c r="E10" s="182">
        <v>1</v>
      </c>
      <c r="F10" s="182"/>
      <c r="G10" s="185">
        <f t="shared" si="0"/>
        <v>1</v>
      </c>
    </row>
    <row r="11" spans="1:7" ht="15">
      <c r="A11" s="183">
        <v>7</v>
      </c>
      <c r="B11" s="682"/>
      <c r="C11" s="682"/>
      <c r="D11" s="182" t="s">
        <v>326</v>
      </c>
      <c r="E11" s="182"/>
      <c r="F11" s="182">
        <v>1</v>
      </c>
      <c r="G11" s="185">
        <f t="shared" si="0"/>
        <v>1</v>
      </c>
    </row>
    <row r="12" spans="1:7" ht="15">
      <c r="A12" s="183">
        <v>8</v>
      </c>
      <c r="B12" s="682" t="s">
        <v>257</v>
      </c>
      <c r="C12" s="682">
        <v>13</v>
      </c>
      <c r="D12" s="182" t="s">
        <v>323</v>
      </c>
      <c r="E12" s="182">
        <v>1</v>
      </c>
      <c r="F12" s="182"/>
      <c r="G12" s="185">
        <f t="shared" si="0"/>
        <v>1</v>
      </c>
    </row>
    <row r="13" spans="1:7" ht="15">
      <c r="A13" s="183">
        <v>9</v>
      </c>
      <c r="B13" s="682"/>
      <c r="C13" s="682"/>
      <c r="D13" s="182" t="s">
        <v>327</v>
      </c>
      <c r="E13" s="182"/>
      <c r="F13" s="182">
        <v>1</v>
      </c>
      <c r="G13" s="185">
        <f t="shared" si="0"/>
        <v>1</v>
      </c>
    </row>
    <row r="14" spans="1:7" ht="15">
      <c r="A14" s="183">
        <v>10</v>
      </c>
      <c r="B14" s="682"/>
      <c r="C14" s="682"/>
      <c r="D14" s="182" t="s">
        <v>328</v>
      </c>
      <c r="E14" s="182"/>
      <c r="F14" s="182">
        <v>1</v>
      </c>
      <c r="G14" s="185">
        <f t="shared" si="0"/>
        <v>1</v>
      </c>
    </row>
    <row r="15" spans="1:7" ht="15">
      <c r="A15" s="183">
        <v>12</v>
      </c>
      <c r="B15" s="685" t="s">
        <v>256</v>
      </c>
      <c r="C15" s="685">
        <v>11</v>
      </c>
      <c r="D15" s="182" t="s">
        <v>329</v>
      </c>
      <c r="E15" s="182"/>
      <c r="F15" s="182">
        <v>1</v>
      </c>
      <c r="G15" s="185">
        <f t="shared" si="0"/>
        <v>1</v>
      </c>
    </row>
    <row r="16" spans="1:7" ht="15">
      <c r="A16" s="183">
        <v>13</v>
      </c>
      <c r="B16" s="684"/>
      <c r="C16" s="684"/>
      <c r="D16" s="182" t="s">
        <v>330</v>
      </c>
      <c r="E16" s="182"/>
      <c r="F16" s="182">
        <v>1</v>
      </c>
      <c r="G16" s="185">
        <f t="shared" si="0"/>
        <v>1</v>
      </c>
    </row>
    <row r="17" spans="1:7" ht="15">
      <c r="A17" s="183">
        <v>14</v>
      </c>
      <c r="B17" s="388" t="s">
        <v>255</v>
      </c>
      <c r="C17" s="388">
        <v>9</v>
      </c>
      <c r="D17" s="182" t="s">
        <v>331</v>
      </c>
      <c r="E17" s="182"/>
      <c r="F17" s="182">
        <v>1</v>
      </c>
      <c r="G17" s="185">
        <f t="shared" si="0"/>
        <v>1</v>
      </c>
    </row>
    <row r="18" spans="1:7" ht="15">
      <c r="A18" s="183">
        <v>15</v>
      </c>
      <c r="B18" s="685" t="s">
        <v>254</v>
      </c>
      <c r="C18" s="685">
        <v>6</v>
      </c>
      <c r="D18" s="182" t="s">
        <v>291</v>
      </c>
      <c r="E18" s="182"/>
      <c r="F18" s="182">
        <v>1</v>
      </c>
      <c r="G18" s="185">
        <f t="shared" si="0"/>
        <v>1</v>
      </c>
    </row>
    <row r="19" spans="1:7" ht="15">
      <c r="A19" s="183">
        <v>16</v>
      </c>
      <c r="B19" s="684"/>
      <c r="C19" s="684"/>
      <c r="D19" s="182" t="s">
        <v>332</v>
      </c>
      <c r="E19" s="182"/>
      <c r="F19" s="182">
        <v>1</v>
      </c>
      <c r="G19" s="185">
        <f t="shared" si="0"/>
        <v>1</v>
      </c>
    </row>
    <row r="20" spans="1:7" ht="15">
      <c r="A20" s="183">
        <v>17</v>
      </c>
      <c r="B20" s="388" t="s">
        <v>253</v>
      </c>
      <c r="C20" s="388">
        <v>7</v>
      </c>
      <c r="D20" s="182" t="s">
        <v>275</v>
      </c>
      <c r="E20" s="182"/>
      <c r="F20" s="182">
        <v>1</v>
      </c>
      <c r="G20" s="185">
        <f t="shared" si="0"/>
        <v>1</v>
      </c>
    </row>
    <row r="21" spans="1:7" ht="15">
      <c r="A21" s="404">
        <v>19</v>
      </c>
      <c r="B21" s="683" t="s">
        <v>252</v>
      </c>
      <c r="C21" s="683">
        <v>21</v>
      </c>
      <c r="D21" s="182" t="s">
        <v>333</v>
      </c>
      <c r="E21" s="182">
        <v>1</v>
      </c>
      <c r="F21" s="182"/>
      <c r="G21" s="185">
        <f t="shared" si="0"/>
        <v>1</v>
      </c>
    </row>
    <row r="22" spans="1:7" ht="15">
      <c r="A22" s="183">
        <v>20</v>
      </c>
      <c r="B22" s="683"/>
      <c r="C22" s="683"/>
      <c r="D22" s="182" t="s">
        <v>334</v>
      </c>
      <c r="E22" s="182">
        <v>1</v>
      </c>
      <c r="F22" s="182"/>
      <c r="G22" s="185">
        <f t="shared" si="0"/>
        <v>1</v>
      </c>
    </row>
    <row r="23" spans="1:7" ht="15">
      <c r="A23" s="183">
        <v>22</v>
      </c>
      <c r="B23" s="684"/>
      <c r="C23" s="684"/>
      <c r="D23" s="182" t="s">
        <v>329</v>
      </c>
      <c r="E23" s="182"/>
      <c r="F23" s="182">
        <v>1</v>
      </c>
      <c r="G23" s="185">
        <f t="shared" si="0"/>
        <v>1</v>
      </c>
    </row>
    <row r="24" spans="1:7" ht="15">
      <c r="A24" s="183">
        <v>23</v>
      </c>
      <c r="B24" s="685" t="s">
        <v>263</v>
      </c>
      <c r="C24" s="685">
        <v>17</v>
      </c>
      <c r="D24" s="240" t="s">
        <v>333</v>
      </c>
      <c r="E24" s="182">
        <v>1</v>
      </c>
      <c r="F24" s="182"/>
      <c r="G24" s="185">
        <f t="shared" si="0"/>
        <v>1</v>
      </c>
    </row>
    <row r="25" spans="1:7" ht="15">
      <c r="A25" s="183">
        <v>24</v>
      </c>
      <c r="B25" s="683"/>
      <c r="C25" s="683"/>
      <c r="D25" s="182" t="s">
        <v>404</v>
      </c>
      <c r="E25" s="182">
        <v>1</v>
      </c>
      <c r="F25" s="182"/>
      <c r="G25" s="185">
        <f t="shared" si="0"/>
        <v>1</v>
      </c>
    </row>
    <row r="26" spans="1:7" ht="15">
      <c r="A26" s="183">
        <v>25</v>
      </c>
      <c r="B26" s="683"/>
      <c r="C26" s="683"/>
      <c r="D26" s="182" t="s">
        <v>334</v>
      </c>
      <c r="E26" s="182">
        <v>1</v>
      </c>
      <c r="F26" s="182"/>
      <c r="G26" s="185">
        <f t="shared" si="0"/>
        <v>1</v>
      </c>
    </row>
    <row r="27" spans="1:7" ht="15">
      <c r="A27" s="183">
        <v>26</v>
      </c>
      <c r="B27" s="684"/>
      <c r="C27" s="684"/>
      <c r="D27" s="182" t="s">
        <v>329</v>
      </c>
      <c r="E27" s="182"/>
      <c r="F27" s="182">
        <v>1</v>
      </c>
      <c r="G27" s="185">
        <f t="shared" si="0"/>
        <v>1</v>
      </c>
    </row>
    <row r="28" spans="1:7" ht="15">
      <c r="A28" s="183">
        <v>27</v>
      </c>
      <c r="B28" s="682" t="s">
        <v>315</v>
      </c>
      <c r="C28" s="682">
        <v>9</v>
      </c>
      <c r="D28" s="240" t="s">
        <v>333</v>
      </c>
      <c r="E28" s="182">
        <v>1</v>
      </c>
      <c r="F28" s="182"/>
      <c r="G28" s="185">
        <f t="shared" si="0"/>
        <v>1</v>
      </c>
    </row>
    <row r="29" spans="1:7" ht="15">
      <c r="A29" s="183">
        <v>28</v>
      </c>
      <c r="B29" s="682"/>
      <c r="C29" s="682"/>
      <c r="D29" s="179" t="s">
        <v>335</v>
      </c>
      <c r="E29" s="182"/>
      <c r="F29" s="182">
        <v>1</v>
      </c>
      <c r="G29" s="185">
        <f t="shared" si="0"/>
        <v>1</v>
      </c>
    </row>
    <row r="30" spans="1:7" ht="29.25">
      <c r="A30" s="183">
        <v>29</v>
      </c>
      <c r="B30" s="685" t="s">
        <v>251</v>
      </c>
      <c r="C30" s="685">
        <v>8</v>
      </c>
      <c r="D30" s="240" t="s">
        <v>336</v>
      </c>
      <c r="E30" s="182">
        <v>1</v>
      </c>
      <c r="F30" s="182"/>
      <c r="G30" s="185">
        <f t="shared" si="0"/>
        <v>1</v>
      </c>
    </row>
    <row r="31" spans="1:7" ht="15">
      <c r="A31" s="183">
        <v>30</v>
      </c>
      <c r="B31" s="683"/>
      <c r="C31" s="683"/>
      <c r="D31" s="182" t="s">
        <v>337</v>
      </c>
      <c r="E31" s="182">
        <v>1</v>
      </c>
      <c r="F31" s="182"/>
      <c r="G31" s="185">
        <f t="shared" si="0"/>
        <v>1</v>
      </c>
    </row>
    <row r="32" spans="1:7" ht="15">
      <c r="A32" s="183">
        <v>31</v>
      </c>
      <c r="B32" s="684"/>
      <c r="C32" s="684"/>
      <c r="D32" s="182" t="s">
        <v>405</v>
      </c>
      <c r="E32" s="182"/>
      <c r="F32" s="182">
        <v>1</v>
      </c>
      <c r="G32" s="185">
        <f t="shared" si="0"/>
        <v>1</v>
      </c>
    </row>
    <row r="33" spans="1:7" ht="15">
      <c r="A33" s="183">
        <v>32</v>
      </c>
      <c r="B33" s="682" t="s">
        <v>250</v>
      </c>
      <c r="C33" s="682">
        <v>7</v>
      </c>
      <c r="D33" s="182" t="s">
        <v>338</v>
      </c>
      <c r="E33" s="182">
        <v>1</v>
      </c>
      <c r="F33" s="182"/>
      <c r="G33" s="185">
        <f t="shared" si="0"/>
        <v>1</v>
      </c>
    </row>
    <row r="34" spans="1:7" ht="29.25">
      <c r="A34" s="183">
        <v>33</v>
      </c>
      <c r="B34" s="682"/>
      <c r="C34" s="682"/>
      <c r="D34" s="240" t="s">
        <v>336</v>
      </c>
      <c r="E34" s="182">
        <v>1</v>
      </c>
      <c r="F34" s="182"/>
      <c r="G34" s="185">
        <f t="shared" si="0"/>
        <v>1</v>
      </c>
    </row>
    <row r="35" spans="1:7" ht="15">
      <c r="A35" s="183">
        <v>34</v>
      </c>
      <c r="B35" s="682"/>
      <c r="C35" s="682"/>
      <c r="D35" s="182" t="s">
        <v>273</v>
      </c>
      <c r="E35" s="182">
        <v>1</v>
      </c>
      <c r="F35" s="182"/>
      <c r="G35" s="185">
        <f t="shared" si="0"/>
        <v>1</v>
      </c>
    </row>
    <row r="36" spans="1:7" ht="15">
      <c r="A36" s="183">
        <v>35</v>
      </c>
      <c r="B36" s="682"/>
      <c r="C36" s="682"/>
      <c r="D36" s="182" t="s">
        <v>339</v>
      </c>
      <c r="E36" s="182"/>
      <c r="F36" s="182">
        <v>1</v>
      </c>
      <c r="G36" s="185">
        <f t="shared" si="0"/>
        <v>1</v>
      </c>
    </row>
    <row r="37" spans="1:7" ht="15">
      <c r="A37" s="183">
        <v>36</v>
      </c>
      <c r="B37" s="387" t="s">
        <v>261</v>
      </c>
      <c r="C37" s="387">
        <v>11</v>
      </c>
      <c r="D37" s="593" t="s">
        <v>340</v>
      </c>
      <c r="E37" s="182"/>
      <c r="F37" s="182">
        <v>1</v>
      </c>
      <c r="G37" s="185">
        <f t="shared" si="0"/>
        <v>1</v>
      </c>
    </row>
    <row r="38" spans="1:7" ht="15">
      <c r="A38" s="183">
        <v>37</v>
      </c>
      <c r="B38" s="685" t="s">
        <v>386</v>
      </c>
      <c r="C38" s="685">
        <v>10</v>
      </c>
      <c r="D38" s="182" t="s">
        <v>406</v>
      </c>
      <c r="E38" s="182">
        <v>1</v>
      </c>
      <c r="F38" s="182"/>
      <c r="G38" s="185">
        <f t="shared" si="0"/>
        <v>1</v>
      </c>
    </row>
    <row r="39" spans="1:7" ht="15">
      <c r="A39" s="183">
        <v>38</v>
      </c>
      <c r="B39" s="684"/>
      <c r="C39" s="684"/>
      <c r="D39" s="182" t="s">
        <v>407</v>
      </c>
      <c r="E39" s="182"/>
      <c r="F39" s="182">
        <v>1</v>
      </c>
      <c r="G39" s="185">
        <f t="shared" si="0"/>
        <v>1</v>
      </c>
    </row>
    <row r="40" spans="1:7" ht="15">
      <c r="A40" s="183">
        <v>39</v>
      </c>
      <c r="B40" s="453" t="s">
        <v>249</v>
      </c>
      <c r="C40" s="453">
        <v>5</v>
      </c>
      <c r="D40" s="182" t="s">
        <v>341</v>
      </c>
      <c r="E40" s="182">
        <v>1</v>
      </c>
      <c r="F40" s="182"/>
      <c r="G40" s="185">
        <f t="shared" si="0"/>
        <v>1</v>
      </c>
    </row>
    <row r="41" spans="1:7" ht="15">
      <c r="A41" s="183">
        <v>40</v>
      </c>
      <c r="B41" s="683" t="s">
        <v>248</v>
      </c>
      <c r="C41" s="683">
        <v>2</v>
      </c>
      <c r="D41" s="182" t="s">
        <v>273</v>
      </c>
      <c r="E41" s="182"/>
      <c r="F41" s="182">
        <v>1</v>
      </c>
      <c r="G41" s="185">
        <f t="shared" si="0"/>
        <v>1</v>
      </c>
    </row>
    <row r="42" spans="1:7" ht="15">
      <c r="A42" s="183">
        <v>41</v>
      </c>
      <c r="B42" s="684"/>
      <c r="C42" s="684"/>
      <c r="D42" s="182" t="s">
        <v>272</v>
      </c>
      <c r="E42" s="182">
        <v>1</v>
      </c>
      <c r="F42" s="182"/>
      <c r="G42" s="185">
        <f t="shared" si="0"/>
        <v>1</v>
      </c>
    </row>
    <row r="43" spans="1:7" s="180" customFormat="1" ht="15">
      <c r="A43" s="181"/>
      <c r="B43" s="181" t="s">
        <v>87</v>
      </c>
      <c r="C43" s="181"/>
      <c r="D43" s="181"/>
      <c r="E43" s="181">
        <f>SUM(E5:E42)</f>
        <v>17</v>
      </c>
      <c r="F43" s="181">
        <f t="shared" ref="F43" si="1">SUM(F5:F42)</f>
        <v>21</v>
      </c>
      <c r="G43" s="185">
        <f t="shared" si="0"/>
        <v>38</v>
      </c>
    </row>
    <row r="44" spans="1:7" ht="47.25" customHeight="1"/>
    <row r="45" spans="1:7" ht="16.5" customHeight="1">
      <c r="B45" s="686" t="s">
        <v>217</v>
      </c>
      <c r="C45" s="686"/>
      <c r="D45" s="686"/>
      <c r="E45" s="121"/>
      <c r="F45" s="121" t="s">
        <v>145</v>
      </c>
      <c r="G45" s="121"/>
    </row>
    <row r="46" spans="1:7" ht="15.75">
      <c r="A46" s="389"/>
      <c r="B46" s="146"/>
      <c r="C46" s="121"/>
      <c r="D46" s="121"/>
      <c r="E46" s="121"/>
      <c r="F46" s="121"/>
      <c r="G46" s="121"/>
    </row>
    <row r="47" spans="1:7" ht="15.75">
      <c r="B47" s="671" t="s">
        <v>216</v>
      </c>
      <c r="C47" s="671"/>
      <c r="D47" s="671"/>
      <c r="E47" s="121"/>
      <c r="F47" s="121" t="s">
        <v>147</v>
      </c>
      <c r="G47" s="121"/>
    </row>
  </sheetData>
  <sheetProtection selectLockedCells="1" selectUnlockedCells="1"/>
  <mergeCells count="35">
    <mergeCell ref="B45:D45"/>
    <mergeCell ref="B47:D47"/>
    <mergeCell ref="B30:B32"/>
    <mergeCell ref="C30:C32"/>
    <mergeCell ref="B33:B36"/>
    <mergeCell ref="C33:C36"/>
    <mergeCell ref="B41:B42"/>
    <mergeCell ref="C41:C42"/>
    <mergeCell ref="B38:B39"/>
    <mergeCell ref="C38:C39"/>
    <mergeCell ref="B21:B23"/>
    <mergeCell ref="C21:C23"/>
    <mergeCell ref="B24:B27"/>
    <mergeCell ref="C24:C27"/>
    <mergeCell ref="B28:B29"/>
    <mergeCell ref="C28:C29"/>
    <mergeCell ref="B12:B14"/>
    <mergeCell ref="C12:C14"/>
    <mergeCell ref="B15:B16"/>
    <mergeCell ref="C15:C16"/>
    <mergeCell ref="B18:B19"/>
    <mergeCell ref="C18:C19"/>
    <mergeCell ref="B5:B6"/>
    <mergeCell ref="C5:C6"/>
    <mergeCell ref="B7:B8"/>
    <mergeCell ref="C7:C8"/>
    <mergeCell ref="B9:B11"/>
    <mergeCell ref="C9:C11"/>
    <mergeCell ref="C1:E1"/>
    <mergeCell ref="A2:G2"/>
    <mergeCell ref="A3:A4"/>
    <mergeCell ref="B3:B4"/>
    <mergeCell ref="C3:C4"/>
    <mergeCell ref="D3:D4"/>
    <mergeCell ref="E3:G3"/>
  </mergeCells>
  <pageMargins left="0.39370078740157483" right="0.39370078740157483" top="0.39370078740157483" bottom="0.39370078740157483" header="0.51181102362204722" footer="0.51181102362204722"/>
  <pageSetup paperSize="9" scale="82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view="pageBreakPreview" zoomScale="86" zoomScaleSheetLayoutView="86" workbookViewId="0">
      <selection activeCell="G15" sqref="G15"/>
    </sheetView>
  </sheetViews>
  <sheetFormatPr defaultRowHeight="12.75"/>
  <cols>
    <col min="4" max="4" width="22.42578125" customWidth="1"/>
  </cols>
  <sheetData>
    <row r="2" spans="1:7">
      <c r="A2" s="687" t="s">
        <v>80</v>
      </c>
      <c r="B2" s="687"/>
      <c r="C2" s="687"/>
      <c r="D2" s="687"/>
      <c r="E2" s="687"/>
      <c r="F2" s="687"/>
      <c r="G2" s="687"/>
    </row>
    <row r="3" spans="1:7">
      <c r="A3" s="688" t="s">
        <v>446</v>
      </c>
      <c r="B3" s="688"/>
      <c r="C3" s="688"/>
      <c r="D3" s="688"/>
      <c r="E3" s="688"/>
      <c r="F3" s="688"/>
      <c r="G3" s="688"/>
    </row>
    <row r="4" spans="1:7" ht="51">
      <c r="A4" s="50" t="s">
        <v>75</v>
      </c>
      <c r="B4" s="50" t="s">
        <v>81</v>
      </c>
      <c r="C4" s="50" t="s">
        <v>82</v>
      </c>
      <c r="D4" s="50" t="s">
        <v>83</v>
      </c>
      <c r="E4" s="50" t="s">
        <v>84</v>
      </c>
      <c r="F4" s="50" t="s">
        <v>85</v>
      </c>
      <c r="G4" s="50" t="s">
        <v>86</v>
      </c>
    </row>
    <row r="5" spans="1:7">
      <c r="A5" s="50">
        <v>1</v>
      </c>
      <c r="B5" s="50" t="s">
        <v>408</v>
      </c>
      <c r="C5" s="50">
        <v>23</v>
      </c>
      <c r="D5" s="55" t="s">
        <v>282</v>
      </c>
      <c r="E5" s="50">
        <v>2</v>
      </c>
      <c r="F5" s="50">
        <v>2</v>
      </c>
      <c r="G5" s="403">
        <v>4</v>
      </c>
    </row>
    <row r="6" spans="1:7">
      <c r="A6" s="50"/>
      <c r="B6" s="50"/>
      <c r="C6" s="50"/>
      <c r="D6" s="55" t="s">
        <v>274</v>
      </c>
      <c r="E6" s="50">
        <v>2</v>
      </c>
      <c r="F6" s="50">
        <v>2</v>
      </c>
      <c r="G6" s="403">
        <v>4</v>
      </c>
    </row>
    <row r="7" spans="1:7">
      <c r="A7" s="50"/>
      <c r="B7" s="50"/>
      <c r="C7" s="50"/>
      <c r="D7" s="51" t="s">
        <v>155</v>
      </c>
      <c r="E7" s="50">
        <v>1</v>
      </c>
      <c r="F7" s="50">
        <v>1</v>
      </c>
      <c r="G7" s="403">
        <v>2</v>
      </c>
    </row>
    <row r="8" spans="1:7">
      <c r="A8" s="55"/>
      <c r="B8" s="55"/>
      <c r="C8" s="55"/>
      <c r="D8" s="61" t="s">
        <v>94</v>
      </c>
      <c r="E8" s="61">
        <f>SUM(E5:E7)</f>
        <v>5</v>
      </c>
      <c r="F8" s="61">
        <f t="shared" ref="F8:G8" si="0">SUM(F5:F7)</f>
        <v>5</v>
      </c>
      <c r="G8" s="61">
        <f t="shared" si="0"/>
        <v>10</v>
      </c>
    </row>
    <row r="9" spans="1:7">
      <c r="A9" s="55">
        <v>1</v>
      </c>
      <c r="B9" s="55" t="s">
        <v>262</v>
      </c>
      <c r="C9" s="55">
        <v>21</v>
      </c>
      <c r="D9" s="55" t="s">
        <v>282</v>
      </c>
      <c r="E9" s="55">
        <v>3</v>
      </c>
      <c r="F9" s="55">
        <v>3</v>
      </c>
      <c r="G9" s="56">
        <f>SUM(E9:F9)</f>
        <v>6</v>
      </c>
    </row>
    <row r="10" spans="1:7">
      <c r="A10" s="55"/>
      <c r="B10" s="55"/>
      <c r="C10" s="55"/>
      <c r="D10" s="55" t="s">
        <v>274</v>
      </c>
      <c r="E10" s="55">
        <v>3</v>
      </c>
      <c r="F10" s="55">
        <v>3</v>
      </c>
      <c r="G10" s="56">
        <f t="shared" ref="G10:G12" si="1">SUM(E10:F10)</f>
        <v>6</v>
      </c>
    </row>
    <row r="11" spans="1:7">
      <c r="A11" s="55"/>
      <c r="B11" s="51"/>
      <c r="C11" s="51"/>
      <c r="D11" s="51" t="s">
        <v>155</v>
      </c>
      <c r="E11" s="51">
        <v>1</v>
      </c>
      <c r="F11" s="51">
        <v>1</v>
      </c>
      <c r="G11" s="56">
        <f t="shared" si="1"/>
        <v>2</v>
      </c>
    </row>
    <row r="12" spans="1:7">
      <c r="A12" s="55"/>
      <c r="B12" s="55"/>
      <c r="C12" s="55"/>
      <c r="D12" s="55" t="s">
        <v>245</v>
      </c>
      <c r="E12" s="55">
        <v>1</v>
      </c>
      <c r="F12" s="55">
        <v>1</v>
      </c>
      <c r="G12" s="56">
        <f t="shared" si="1"/>
        <v>2</v>
      </c>
    </row>
    <row r="13" spans="1:7">
      <c r="A13" s="55"/>
      <c r="B13" s="55"/>
      <c r="C13" s="55"/>
      <c r="D13" s="437" t="s">
        <v>172</v>
      </c>
      <c r="E13" s="437">
        <v>3</v>
      </c>
      <c r="F13" s="437">
        <v>3</v>
      </c>
      <c r="G13" s="437">
        <v>6</v>
      </c>
    </row>
    <row r="14" spans="1:7">
      <c r="A14" s="55"/>
      <c r="B14" s="55"/>
      <c r="C14" s="55"/>
      <c r="D14" s="61" t="s">
        <v>373</v>
      </c>
      <c r="E14" s="61">
        <f>SUM(E9:E13)</f>
        <v>11</v>
      </c>
      <c r="F14" s="61">
        <f>SUM(F9:F13)</f>
        <v>11</v>
      </c>
      <c r="G14" s="61">
        <f>SUM(G9:G13)</f>
        <v>22</v>
      </c>
    </row>
    <row r="15" spans="1:7">
      <c r="A15" s="52"/>
      <c r="B15" s="52"/>
      <c r="C15" s="52"/>
      <c r="D15" s="52" t="s">
        <v>87</v>
      </c>
      <c r="E15" s="61">
        <f>E8+ E14</f>
        <v>16</v>
      </c>
      <c r="F15" s="61">
        <f>F8+ F14</f>
        <v>16</v>
      </c>
      <c r="G15" s="61">
        <f>G8+ G14</f>
        <v>32</v>
      </c>
    </row>
    <row r="17" spans="1:4">
      <c r="A17" s="53" t="s">
        <v>78</v>
      </c>
      <c r="D17" t="s">
        <v>145</v>
      </c>
    </row>
    <row r="18" spans="1:4">
      <c r="A18" s="53"/>
    </row>
    <row r="19" spans="1:4">
      <c r="A19" s="54" t="s">
        <v>79</v>
      </c>
      <c r="D19" t="s">
        <v>286</v>
      </c>
    </row>
  </sheetData>
  <mergeCells count="2">
    <mergeCell ref="A2:G2"/>
    <mergeCell ref="A3:G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97"/>
  <sheetViews>
    <sheetView view="pageBreakPreview" zoomScale="75" zoomScaleSheetLayoutView="75" workbookViewId="0">
      <pane xSplit="11" ySplit="6" topLeftCell="L22" activePane="bottomRight" state="frozen"/>
      <selection pane="topRight" activeCell="L1" sqref="L1"/>
      <selection pane="bottomLeft" activeCell="A7" sqref="A7"/>
      <selection pane="bottomRight" activeCell="B28" sqref="B28:H28"/>
    </sheetView>
  </sheetViews>
  <sheetFormatPr defaultColWidth="9.140625" defaultRowHeight="15.75"/>
  <cols>
    <col min="1" max="1" width="7.28515625" style="64" customWidth="1"/>
    <col min="2" max="2" width="25.140625" style="119" customWidth="1"/>
    <col min="3" max="3" width="19.85546875" style="218" customWidth="1"/>
    <col min="4" max="4" width="9.42578125" style="218" customWidth="1"/>
    <col min="5" max="5" width="10.85546875" style="218" customWidth="1"/>
    <col min="6" max="6" width="8.85546875" style="218" customWidth="1"/>
    <col min="7" max="7" width="10.5703125" style="218" customWidth="1"/>
    <col min="8" max="8" width="9.28515625" style="326" customWidth="1"/>
    <col min="9" max="9" width="7.28515625" style="218" customWidth="1"/>
    <col min="10" max="10" width="7.85546875" style="218" customWidth="1"/>
    <col min="11" max="11" width="7.5703125" style="218" customWidth="1"/>
    <col min="12" max="12" width="8.85546875" style="218" customWidth="1"/>
    <col min="13" max="13" width="9.85546875" style="218" customWidth="1"/>
    <col min="14" max="14" width="8" style="218" customWidth="1"/>
    <col min="15" max="15" width="10.42578125" style="218" customWidth="1"/>
    <col min="16" max="16" width="6.28515625" style="218" customWidth="1"/>
    <col min="17" max="17" width="12.140625" style="218" customWidth="1"/>
    <col min="18" max="18" width="14.28515625" style="218" customWidth="1"/>
    <col min="19" max="19" width="13.85546875" style="218" customWidth="1"/>
    <col min="20" max="20" width="5.42578125" style="218" customWidth="1"/>
    <col min="21" max="21" width="15.5703125" style="218" bestFit="1" customWidth="1"/>
    <col min="22" max="22" width="10" style="218" customWidth="1"/>
    <col min="23" max="23" width="12.5703125" style="218" customWidth="1"/>
    <col min="24" max="24" width="14" style="218" customWidth="1"/>
    <col min="25" max="25" width="8.42578125" style="218" customWidth="1"/>
    <col min="26" max="26" width="15.5703125" style="218" bestFit="1" customWidth="1"/>
    <col min="27" max="27" width="7.28515625" style="218" bestFit="1" customWidth="1"/>
    <col min="28" max="28" width="10" style="218" customWidth="1"/>
    <col min="29" max="29" width="7" style="218" bestFit="1" customWidth="1"/>
    <col min="30" max="30" width="5.42578125" style="218" customWidth="1"/>
    <col min="31" max="31" width="9.42578125" style="218" customWidth="1"/>
    <col min="32" max="32" width="15.5703125" style="218" bestFit="1" customWidth="1"/>
    <col min="33" max="33" width="7.28515625" style="218" bestFit="1" customWidth="1"/>
    <col min="34" max="34" width="15.5703125" style="218" bestFit="1" customWidth="1"/>
    <col min="35" max="35" width="7" style="218" bestFit="1" customWidth="1"/>
    <col min="36" max="36" width="5.42578125" style="218" customWidth="1"/>
    <col min="37" max="37" width="8.85546875" style="218" customWidth="1"/>
    <col min="38" max="38" width="11.140625" style="218" customWidth="1"/>
    <col min="39" max="39" width="7.7109375" style="218" bestFit="1" customWidth="1"/>
    <col min="40" max="40" width="11.28515625" style="218" customWidth="1"/>
    <col min="41" max="41" width="7.7109375" style="218" bestFit="1" customWidth="1"/>
    <col min="42" max="42" width="11" style="218" customWidth="1"/>
    <col min="43" max="43" width="7.5703125" style="218" bestFit="1" customWidth="1"/>
    <col min="44" max="44" width="5.85546875" style="218" customWidth="1"/>
    <col min="45" max="45" width="6.85546875" style="218" bestFit="1" customWidth="1"/>
    <col min="46" max="46" width="5.85546875" style="218" customWidth="1"/>
    <col min="47" max="47" width="7.28515625" style="218" customWidth="1"/>
    <col min="48" max="48" width="5.85546875" style="218" customWidth="1"/>
    <col min="49" max="49" width="6.85546875" style="218" bestFit="1" customWidth="1"/>
    <col min="50" max="50" width="11" style="218" customWidth="1"/>
    <col min="51" max="51" width="7.5703125" style="218" bestFit="1" customWidth="1"/>
    <col min="52" max="52" width="10.28515625" style="218" bestFit="1" customWidth="1"/>
    <col min="53" max="53" width="6.85546875" style="218" bestFit="1" customWidth="1"/>
    <col min="54" max="54" width="6.28515625" style="218" customWidth="1"/>
    <col min="55" max="55" width="8.140625" style="218" bestFit="1" customWidth="1"/>
    <col min="56" max="56" width="6.85546875" style="218" customWidth="1"/>
    <col min="57" max="57" width="12.85546875" style="218" customWidth="1"/>
    <col min="58" max="58" width="12.42578125" style="218" customWidth="1"/>
    <col min="59" max="59" width="13.42578125" style="218" customWidth="1"/>
    <col min="60" max="60" width="15.140625" style="598" customWidth="1"/>
    <col min="61" max="61" width="15.5703125" style="218" customWidth="1"/>
    <col min="62" max="62" width="11.85546875" style="64" customWidth="1"/>
    <col min="63" max="63" width="19" style="64" customWidth="1"/>
    <col min="64" max="16384" width="9.140625" style="64"/>
  </cols>
  <sheetData>
    <row r="1" spans="1:63">
      <c r="A1" s="1"/>
      <c r="B1" s="697" t="s">
        <v>0</v>
      </c>
      <c r="C1" s="697"/>
      <c r="D1" s="697"/>
      <c r="E1" s="217"/>
      <c r="F1" s="217"/>
      <c r="G1" s="217"/>
      <c r="H1" s="319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25"/>
      <c r="W1" s="217"/>
      <c r="X1" s="217"/>
      <c r="Y1" s="217"/>
      <c r="Z1" s="217"/>
      <c r="AA1" s="217"/>
      <c r="AB1" s="217"/>
      <c r="AC1" s="217"/>
      <c r="AD1" s="225"/>
      <c r="AE1" s="217"/>
      <c r="AF1" s="217"/>
      <c r="AG1" s="217"/>
      <c r="AH1" s="217"/>
      <c r="AI1" s="217"/>
      <c r="AJ1" s="217"/>
      <c r="AK1" s="217"/>
      <c r="AL1" s="217"/>
      <c r="AM1" s="225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"/>
      <c r="BI1" s="217"/>
    </row>
    <row r="2" spans="1:63">
      <c r="A2" s="1"/>
      <c r="B2" s="698" t="s">
        <v>411</v>
      </c>
      <c r="C2" s="698"/>
      <c r="D2" s="698"/>
      <c r="E2" s="699"/>
      <c r="F2" s="699"/>
      <c r="G2" s="699"/>
      <c r="H2" s="699"/>
      <c r="I2" s="699"/>
      <c r="J2" s="699"/>
      <c r="K2" s="699"/>
      <c r="L2" s="226"/>
      <c r="M2" s="217"/>
      <c r="N2" s="217"/>
      <c r="O2" s="217"/>
      <c r="P2" s="217"/>
      <c r="Q2" s="217"/>
      <c r="R2" s="217"/>
      <c r="S2" s="217"/>
      <c r="T2" s="217"/>
      <c r="U2" s="217"/>
      <c r="V2" s="225"/>
      <c r="W2" s="217"/>
      <c r="X2" s="217"/>
      <c r="Y2" s="217"/>
      <c r="Z2" s="217"/>
      <c r="AA2" s="217"/>
      <c r="AB2" s="217"/>
      <c r="AC2" s="217"/>
      <c r="AD2" s="225"/>
      <c r="AE2" s="217"/>
      <c r="AF2" s="217"/>
      <c r="AG2" s="217"/>
      <c r="AH2" s="217"/>
      <c r="AI2" s="217"/>
      <c r="AJ2" s="217"/>
      <c r="AK2" s="217"/>
      <c r="AL2" s="217"/>
      <c r="AM2" s="225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"/>
      <c r="BI2" s="217"/>
    </row>
    <row r="3" spans="1:63">
      <c r="A3" s="1"/>
      <c r="B3" s="697" t="s">
        <v>412</v>
      </c>
      <c r="C3" s="697"/>
      <c r="D3" s="697"/>
      <c r="E3" s="700"/>
      <c r="F3" s="700"/>
      <c r="G3" s="217"/>
      <c r="H3" s="319"/>
      <c r="I3" s="217"/>
      <c r="J3" s="217"/>
      <c r="K3" s="701" t="s">
        <v>442</v>
      </c>
      <c r="L3" s="701"/>
      <c r="M3" s="701"/>
      <c r="N3" s="701"/>
      <c r="O3" s="701"/>
      <c r="P3" s="701"/>
      <c r="Q3" s="701"/>
      <c r="R3" s="701"/>
      <c r="S3" s="701"/>
      <c r="T3" s="701"/>
      <c r="U3" s="217"/>
      <c r="V3" s="225"/>
      <c r="W3" s="217"/>
      <c r="X3" s="217"/>
      <c r="Y3" s="217"/>
      <c r="Z3" s="217"/>
      <c r="AA3" s="217"/>
      <c r="AB3" s="217"/>
      <c r="AC3" s="217"/>
      <c r="AD3" s="225"/>
      <c r="AE3" s="217"/>
      <c r="AF3" s="217"/>
      <c r="AG3" s="217"/>
      <c r="AH3" s="217"/>
      <c r="AI3" s="217"/>
      <c r="AJ3" s="217"/>
      <c r="AK3" s="217"/>
      <c r="AL3" s="217"/>
      <c r="AM3" s="225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"/>
      <c r="BI3" s="217"/>
    </row>
    <row r="4" spans="1:63">
      <c r="A4" s="3"/>
      <c r="B4" s="138"/>
      <c r="C4" s="211"/>
      <c r="D4" s="211"/>
      <c r="E4" s="211"/>
      <c r="F4" s="211"/>
      <c r="G4" s="211" t="s">
        <v>1</v>
      </c>
      <c r="H4" s="320">
        <v>17697</v>
      </c>
      <c r="I4" s="211"/>
      <c r="J4" s="211"/>
      <c r="K4" s="702"/>
      <c r="L4" s="702"/>
      <c r="M4" s="702"/>
      <c r="N4" s="702"/>
      <c r="O4" s="702"/>
      <c r="P4" s="702"/>
      <c r="Q4" s="702"/>
      <c r="R4" s="702"/>
      <c r="S4" s="702"/>
      <c r="T4" s="702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594"/>
      <c r="BI4" s="211"/>
    </row>
    <row r="5" spans="1:63" ht="15" customHeight="1">
      <c r="A5" s="695" t="s">
        <v>2</v>
      </c>
      <c r="B5" s="704" t="s">
        <v>3</v>
      </c>
      <c r="C5" s="696" t="s">
        <v>4</v>
      </c>
      <c r="D5" s="695" t="s">
        <v>5</v>
      </c>
      <c r="E5" s="695" t="s">
        <v>6</v>
      </c>
      <c r="F5" s="695"/>
      <c r="G5" s="250"/>
      <c r="H5" s="89"/>
      <c r="I5" s="696" t="s">
        <v>7</v>
      </c>
      <c r="J5" s="696"/>
      <c r="K5" s="696"/>
      <c r="L5" s="696"/>
      <c r="M5" s="696"/>
      <c r="N5" s="696"/>
      <c r="O5" s="696"/>
      <c r="P5" s="696" t="s">
        <v>8</v>
      </c>
      <c r="Q5" s="696"/>
      <c r="R5" s="696"/>
      <c r="S5" s="696"/>
      <c r="T5" s="696"/>
      <c r="U5" s="696"/>
      <c r="V5" s="711" t="s">
        <v>66</v>
      </c>
      <c r="W5" s="712"/>
      <c r="X5" s="712"/>
      <c r="Y5" s="712"/>
      <c r="Z5" s="712"/>
      <c r="AA5" s="712"/>
      <c r="AB5" s="712"/>
      <c r="AC5" s="712"/>
      <c r="AD5" s="712"/>
      <c r="AE5" s="712"/>
      <c r="AF5" s="712"/>
      <c r="AG5" s="712"/>
      <c r="AH5" s="712"/>
      <c r="AI5" s="712"/>
      <c r="AJ5" s="712"/>
      <c r="AK5" s="712"/>
      <c r="AL5" s="712"/>
      <c r="AM5" s="712"/>
      <c r="AN5" s="712"/>
      <c r="AO5" s="712"/>
      <c r="AP5" s="712"/>
      <c r="AQ5" s="712"/>
      <c r="AR5" s="712"/>
      <c r="AS5" s="712"/>
      <c r="AT5" s="712"/>
      <c r="AU5" s="712"/>
      <c r="AV5" s="712"/>
      <c r="AW5" s="712"/>
      <c r="AX5" s="712"/>
      <c r="AY5" s="712"/>
      <c r="AZ5" s="712"/>
      <c r="BA5" s="712"/>
      <c r="BB5" s="712"/>
      <c r="BC5" s="712"/>
      <c r="BD5" s="712"/>
      <c r="BE5" s="712"/>
      <c r="BF5" s="713"/>
      <c r="BG5" s="695" t="s">
        <v>9</v>
      </c>
      <c r="BH5" s="595"/>
      <c r="BI5" s="695" t="s">
        <v>10</v>
      </c>
      <c r="BJ5" s="708" t="s">
        <v>91</v>
      </c>
      <c r="BK5" s="708"/>
    </row>
    <row r="6" spans="1:63" ht="133.5" customHeight="1">
      <c r="A6" s="695"/>
      <c r="B6" s="704"/>
      <c r="C6" s="696"/>
      <c r="D6" s="695"/>
      <c r="E6" s="695" t="s">
        <v>11</v>
      </c>
      <c r="F6" s="695" t="s">
        <v>12</v>
      </c>
      <c r="G6" s="695" t="s">
        <v>13</v>
      </c>
      <c r="H6" s="705" t="s">
        <v>14</v>
      </c>
      <c r="I6" s="696" t="s">
        <v>15</v>
      </c>
      <c r="J6" s="696" t="s">
        <v>16</v>
      </c>
      <c r="K6" s="696"/>
      <c r="L6" s="696"/>
      <c r="M6" s="696"/>
      <c r="N6" s="696"/>
      <c r="O6" s="696"/>
      <c r="P6" s="696"/>
      <c r="Q6" s="696"/>
      <c r="R6" s="696"/>
      <c r="S6" s="696"/>
      <c r="T6" s="696"/>
      <c r="U6" s="696"/>
      <c r="V6" s="696" t="s">
        <v>67</v>
      </c>
      <c r="W6" s="696"/>
      <c r="X6" s="714" t="s">
        <v>92</v>
      </c>
      <c r="Y6" s="696" t="s">
        <v>17</v>
      </c>
      <c r="Z6" s="696"/>
      <c r="AA6" s="696"/>
      <c r="AB6" s="696"/>
      <c r="AC6" s="696"/>
      <c r="AD6" s="696"/>
      <c r="AE6" s="696"/>
      <c r="AF6" s="696"/>
      <c r="AG6" s="696"/>
      <c r="AH6" s="696"/>
      <c r="AI6" s="696"/>
      <c r="AJ6" s="696"/>
      <c r="AK6" s="696"/>
      <c r="AL6" s="250"/>
      <c r="AM6" s="696" t="s">
        <v>18</v>
      </c>
      <c r="AN6" s="696"/>
      <c r="AO6" s="696"/>
      <c r="AP6" s="696"/>
      <c r="AQ6" s="696" t="s">
        <v>64</v>
      </c>
      <c r="AR6" s="696"/>
      <c r="AS6" s="696" t="s">
        <v>69</v>
      </c>
      <c r="AT6" s="696"/>
      <c r="AU6" s="696" t="s">
        <v>70</v>
      </c>
      <c r="AV6" s="696"/>
      <c r="AW6" s="696" t="s">
        <v>71</v>
      </c>
      <c r="AX6" s="696"/>
      <c r="AY6" s="696" t="s">
        <v>65</v>
      </c>
      <c r="AZ6" s="696"/>
      <c r="BA6" s="696" t="s">
        <v>19</v>
      </c>
      <c r="BB6" s="696"/>
      <c r="BC6" s="696" t="s">
        <v>20</v>
      </c>
      <c r="BD6" s="696"/>
      <c r="BE6" s="250" t="s">
        <v>72</v>
      </c>
      <c r="BF6" s="696" t="s">
        <v>21</v>
      </c>
      <c r="BG6" s="695"/>
      <c r="BH6" s="595"/>
      <c r="BI6" s="695"/>
      <c r="BJ6" s="708"/>
      <c r="BK6" s="708"/>
    </row>
    <row r="7" spans="1:63" ht="63">
      <c r="A7" s="695"/>
      <c r="B7" s="704"/>
      <c r="C7" s="696"/>
      <c r="D7" s="695"/>
      <c r="E7" s="695"/>
      <c r="F7" s="695"/>
      <c r="G7" s="695"/>
      <c r="H7" s="705"/>
      <c r="I7" s="696"/>
      <c r="J7" s="250" t="s">
        <v>22</v>
      </c>
      <c r="K7" s="250" t="s">
        <v>23</v>
      </c>
      <c r="L7" s="300" t="s">
        <v>39</v>
      </c>
      <c r="M7" s="300" t="s">
        <v>35</v>
      </c>
      <c r="N7" s="300" t="s">
        <v>302</v>
      </c>
      <c r="O7" s="250" t="s">
        <v>27</v>
      </c>
      <c r="P7" s="250" t="s">
        <v>22</v>
      </c>
      <c r="Q7" s="250" t="s">
        <v>23</v>
      </c>
      <c r="R7" s="300" t="s">
        <v>39</v>
      </c>
      <c r="S7" s="300" t="s">
        <v>35</v>
      </c>
      <c r="T7" s="300" t="s">
        <v>302</v>
      </c>
      <c r="U7" s="250" t="s">
        <v>28</v>
      </c>
      <c r="V7" s="250" t="s">
        <v>29</v>
      </c>
      <c r="W7" s="250" t="s">
        <v>30</v>
      </c>
      <c r="X7" s="714"/>
      <c r="Y7" s="250" t="s">
        <v>31</v>
      </c>
      <c r="Z7" s="300" t="s">
        <v>305</v>
      </c>
      <c r="AA7" s="250" t="s">
        <v>31</v>
      </c>
      <c r="AB7" s="300" t="s">
        <v>304</v>
      </c>
      <c r="AC7" s="250" t="s">
        <v>31</v>
      </c>
      <c r="AD7" s="300" t="s">
        <v>303</v>
      </c>
      <c r="AE7" s="250" t="s">
        <v>31</v>
      </c>
      <c r="AF7" s="300" t="s">
        <v>39</v>
      </c>
      <c r="AG7" s="250" t="s">
        <v>31</v>
      </c>
      <c r="AH7" s="250" t="s">
        <v>35</v>
      </c>
      <c r="AI7" s="250" t="s">
        <v>31</v>
      </c>
      <c r="AJ7" s="300" t="s">
        <v>302</v>
      </c>
      <c r="AK7" s="67" t="s">
        <v>36</v>
      </c>
      <c r="AL7" s="250" t="s">
        <v>37</v>
      </c>
      <c r="AM7" s="250" t="s">
        <v>38</v>
      </c>
      <c r="AN7" s="250" t="s">
        <v>39</v>
      </c>
      <c r="AO7" s="250" t="s">
        <v>38</v>
      </c>
      <c r="AP7" s="68" t="s">
        <v>40</v>
      </c>
      <c r="AQ7" s="250" t="s">
        <v>38</v>
      </c>
      <c r="AR7" s="250" t="s">
        <v>30</v>
      </c>
      <c r="AS7" s="250" t="s">
        <v>68</v>
      </c>
      <c r="AT7" s="250" t="s">
        <v>30</v>
      </c>
      <c r="AU7" s="250" t="s">
        <v>68</v>
      </c>
      <c r="AV7" s="250" t="s">
        <v>30</v>
      </c>
      <c r="AW7" s="250" t="s">
        <v>68</v>
      </c>
      <c r="AX7" s="250" t="s">
        <v>30</v>
      </c>
      <c r="AY7" s="250" t="s">
        <v>38</v>
      </c>
      <c r="AZ7" s="250" t="s">
        <v>30</v>
      </c>
      <c r="BA7" s="250" t="s">
        <v>41</v>
      </c>
      <c r="BB7" s="250" t="s">
        <v>30</v>
      </c>
      <c r="BC7" s="250" t="s">
        <v>29</v>
      </c>
      <c r="BD7" s="250" t="s">
        <v>30</v>
      </c>
      <c r="BE7" s="250" t="s">
        <v>30</v>
      </c>
      <c r="BF7" s="696"/>
      <c r="BG7" s="695"/>
      <c r="BH7" s="595" t="s">
        <v>413</v>
      </c>
      <c r="BI7" s="695"/>
      <c r="BJ7" s="79" t="s">
        <v>93</v>
      </c>
      <c r="BK7" s="79" t="s">
        <v>30</v>
      </c>
    </row>
    <row r="8" spans="1:63">
      <c r="A8" s="259">
        <v>1</v>
      </c>
      <c r="B8" s="261">
        <v>2</v>
      </c>
      <c r="C8" s="259">
        <v>3</v>
      </c>
      <c r="D8" s="259">
        <v>4</v>
      </c>
      <c r="E8" s="259">
        <v>5</v>
      </c>
      <c r="F8" s="259">
        <v>6</v>
      </c>
      <c r="G8" s="259">
        <v>7</v>
      </c>
      <c r="H8" s="321">
        <v>8</v>
      </c>
      <c r="I8" s="259">
        <v>9</v>
      </c>
      <c r="J8" s="259">
        <v>10</v>
      </c>
      <c r="K8" s="259">
        <v>11</v>
      </c>
      <c r="L8" s="259">
        <v>12</v>
      </c>
      <c r="M8" s="259">
        <v>13</v>
      </c>
      <c r="N8" s="259">
        <v>14</v>
      </c>
      <c r="O8" s="259">
        <v>15</v>
      </c>
      <c r="P8" s="259">
        <v>16</v>
      </c>
      <c r="Q8" s="259">
        <v>17</v>
      </c>
      <c r="R8" s="259">
        <v>18</v>
      </c>
      <c r="S8" s="259">
        <v>19</v>
      </c>
      <c r="T8" s="259">
        <v>20</v>
      </c>
      <c r="U8" s="259">
        <v>21</v>
      </c>
      <c r="V8" s="259">
        <v>22</v>
      </c>
      <c r="W8" s="259">
        <v>23</v>
      </c>
      <c r="X8" s="259">
        <v>24</v>
      </c>
      <c r="Y8" s="259">
        <v>25</v>
      </c>
      <c r="Z8" s="259">
        <v>26</v>
      </c>
      <c r="AA8" s="259">
        <v>27</v>
      </c>
      <c r="AB8" s="259">
        <v>28</v>
      </c>
      <c r="AC8" s="259">
        <v>29</v>
      </c>
      <c r="AD8" s="259">
        <v>30</v>
      </c>
      <c r="AE8" s="259">
        <v>31</v>
      </c>
      <c r="AF8" s="259">
        <v>32</v>
      </c>
      <c r="AG8" s="259">
        <v>33</v>
      </c>
      <c r="AH8" s="259">
        <v>34</v>
      </c>
      <c r="AI8" s="259">
        <v>35</v>
      </c>
      <c r="AJ8" s="259">
        <v>36</v>
      </c>
      <c r="AK8" s="259">
        <v>37</v>
      </c>
      <c r="AL8" s="259">
        <v>38</v>
      </c>
      <c r="AM8" s="259">
        <v>39</v>
      </c>
      <c r="AN8" s="259">
        <v>40</v>
      </c>
      <c r="AO8" s="259" t="s">
        <v>193</v>
      </c>
      <c r="AP8" s="259">
        <v>42</v>
      </c>
      <c r="AQ8" s="259">
        <v>43</v>
      </c>
      <c r="AR8" s="259">
        <v>44</v>
      </c>
      <c r="AS8" s="259">
        <v>45</v>
      </c>
      <c r="AT8" s="259">
        <v>46</v>
      </c>
      <c r="AU8" s="259">
        <v>47</v>
      </c>
      <c r="AV8" s="259">
        <v>48</v>
      </c>
      <c r="AW8" s="259">
        <v>49</v>
      </c>
      <c r="AX8" s="259">
        <v>50</v>
      </c>
      <c r="AY8" s="259">
        <v>51</v>
      </c>
      <c r="AZ8" s="259">
        <v>52</v>
      </c>
      <c r="BA8" s="259">
        <v>53</v>
      </c>
      <c r="BB8" s="259">
        <v>54</v>
      </c>
      <c r="BC8" s="259">
        <v>55</v>
      </c>
      <c r="BD8" s="259">
        <v>56</v>
      </c>
      <c r="BE8" s="259">
        <v>57</v>
      </c>
      <c r="BF8" s="259">
        <v>58</v>
      </c>
      <c r="BG8" s="259">
        <v>59</v>
      </c>
      <c r="BH8" s="595"/>
      <c r="BI8" s="259">
        <v>60</v>
      </c>
      <c r="BJ8" s="450">
        <v>61</v>
      </c>
      <c r="BK8" s="450">
        <v>62</v>
      </c>
    </row>
    <row r="9" spans="1:63" ht="31.5">
      <c r="A9" s="253">
        <v>1</v>
      </c>
      <c r="B9" s="135" t="s">
        <v>192</v>
      </c>
      <c r="C9" s="212" t="s">
        <v>191</v>
      </c>
      <c r="D9" s="212" t="s">
        <v>163</v>
      </c>
      <c r="E9" s="219" t="s">
        <v>189</v>
      </c>
      <c r="F9" s="212" t="s">
        <v>163</v>
      </c>
      <c r="G9" s="212">
        <v>34</v>
      </c>
      <c r="H9" s="381">
        <v>5.41</v>
      </c>
      <c r="I9" s="281">
        <f>ROUND((((J9+K9))/24)+(L9+M9+N9)/18,2)</f>
        <v>0.5</v>
      </c>
      <c r="J9" s="369"/>
      <c r="K9" s="369"/>
      <c r="L9" s="286"/>
      <c r="M9" s="283">
        <v>9</v>
      </c>
      <c r="N9" s="283"/>
      <c r="O9" s="282">
        <f>SUM(J9:N9)</f>
        <v>9</v>
      </c>
      <c r="P9" s="231">
        <f>SUM(($H$4*H9)/24)*J9</f>
        <v>0</v>
      </c>
      <c r="Q9" s="254">
        <f>SUM(($H$4*H9)/24)*K9</f>
        <v>0</v>
      </c>
      <c r="R9" s="254">
        <f>($H$4*H9)/18*L9</f>
        <v>0</v>
      </c>
      <c r="S9" s="220">
        <f>($H$4*H9)*M9/18</f>
        <v>47870.385000000002</v>
      </c>
      <c r="T9" s="254">
        <f>($H$4*H9)/18*N9</f>
        <v>0</v>
      </c>
      <c r="U9" s="220">
        <f>SUM(P9:T9)</f>
        <v>47870.385000000002</v>
      </c>
      <c r="V9" s="229">
        <v>25</v>
      </c>
      <c r="W9" s="220">
        <f>(U9*V9)/100</f>
        <v>11967.596250000001</v>
      </c>
      <c r="X9" s="220">
        <f>SUM(U9,W9)</f>
        <v>59837.981250000004</v>
      </c>
      <c r="Y9" s="229"/>
      <c r="Z9" s="254">
        <f>($H$4*0.25)*Y9/18</f>
        <v>0</v>
      </c>
      <c r="AA9" s="230"/>
      <c r="AB9" s="231">
        <f>SUM(($H$4*0.25)/18)*AA9</f>
        <v>0</v>
      </c>
      <c r="AC9" s="231"/>
      <c r="AD9" s="231">
        <f>SUM(($H$4*0.25)/18*AC9)</f>
        <v>0</v>
      </c>
      <c r="AE9" s="229"/>
      <c r="AF9" s="231">
        <f>SUM(($H$4*0.2)/18)*AE9</f>
        <v>0</v>
      </c>
      <c r="AG9" s="229">
        <v>4.5</v>
      </c>
      <c r="AH9" s="220">
        <f>SUM(($H$4*0.2)/18)*AG9</f>
        <v>884.84999999999991</v>
      </c>
      <c r="AI9" s="229"/>
      <c r="AJ9" s="213">
        <f>SUM(($H$4*0.2)/18)*AI9</f>
        <v>0</v>
      </c>
      <c r="AK9" s="255">
        <f>SUM(Y9,AA9,AC9,AE9,AG9,AI9)</f>
        <v>4.5</v>
      </c>
      <c r="AL9" s="220">
        <f>SUM(Z9,AB9,AD9,AF9,AH9,AJ9)</f>
        <v>884.84999999999991</v>
      </c>
      <c r="AM9" s="228"/>
      <c r="AN9" s="231">
        <f>SUM($H$4*0.25)*AM9</f>
        <v>0</v>
      </c>
      <c r="AO9" s="230"/>
      <c r="AP9" s="254">
        <f>SUM($H$4*0.3)*AO9</f>
        <v>0</v>
      </c>
      <c r="AQ9" s="231"/>
      <c r="AR9" s="231">
        <f>SUM($H$4*0.2*AQ9)</f>
        <v>0</v>
      </c>
      <c r="AS9" s="229"/>
      <c r="AT9" s="231">
        <f>SUM($H$4*$H9*AS9/18)</f>
        <v>0</v>
      </c>
      <c r="AU9" s="229"/>
      <c r="AV9" s="231">
        <f>SUM($H$4*$H9*AU9/18)*0.7</f>
        <v>0</v>
      </c>
      <c r="AW9" s="228"/>
      <c r="AX9" s="231">
        <f>SUM($H$4*$H9*AW9/18)*0.3</f>
        <v>0</v>
      </c>
      <c r="AY9" s="229"/>
      <c r="AZ9" s="213">
        <f>SUM(($H$4*0.25)/18)*AY9</f>
        <v>0</v>
      </c>
      <c r="BA9" s="231"/>
      <c r="BB9" s="231">
        <f>SUM($H$4*0.2)*BA9</f>
        <v>0</v>
      </c>
      <c r="BC9" s="231"/>
      <c r="BD9" s="213">
        <f>((($H$4*BC9)/100)*20)/100</f>
        <v>0</v>
      </c>
      <c r="BE9" s="220"/>
      <c r="BF9" s="220">
        <f>AL9+AN9+AP9+AT9+AV9+AX9+AZ9+BB9+BD9+BE9+AR9</f>
        <v>884.84999999999991</v>
      </c>
      <c r="BG9" s="220">
        <f>X9+BF9</f>
        <v>60722.831250000003</v>
      </c>
      <c r="BH9" s="596">
        <f>BG9*25%</f>
        <v>15180.707812500001</v>
      </c>
      <c r="BI9" s="220">
        <f>BG9*12</f>
        <v>728673.97500000009</v>
      </c>
      <c r="BK9" s="429">
        <f>SUM(($H$4*H9)+(($H$4*H9*V9)/100))*BJ9</f>
        <v>0</v>
      </c>
    </row>
    <row r="10" spans="1:63">
      <c r="A10" s="4"/>
      <c r="B10" s="126" t="s">
        <v>98</v>
      </c>
      <c r="C10" s="213"/>
      <c r="D10" s="213"/>
      <c r="E10" s="219"/>
      <c r="F10" s="130"/>
      <c r="G10" s="220"/>
      <c r="H10" s="279"/>
      <c r="I10" s="370">
        <f t="shared" ref="I10:BK10" si="0">SUM(I9:I9)</f>
        <v>0.5</v>
      </c>
      <c r="J10" s="370">
        <f t="shared" si="0"/>
        <v>0</v>
      </c>
      <c r="K10" s="370">
        <f t="shared" si="0"/>
        <v>0</v>
      </c>
      <c r="L10" s="370">
        <f t="shared" si="0"/>
        <v>0</v>
      </c>
      <c r="M10" s="370">
        <f t="shared" si="0"/>
        <v>9</v>
      </c>
      <c r="N10" s="370">
        <f t="shared" si="0"/>
        <v>0</v>
      </c>
      <c r="O10" s="370">
        <f t="shared" si="0"/>
        <v>9</v>
      </c>
      <c r="P10" s="370">
        <f t="shared" si="0"/>
        <v>0</v>
      </c>
      <c r="Q10" s="370">
        <f t="shared" si="0"/>
        <v>0</v>
      </c>
      <c r="R10" s="370">
        <f t="shared" si="0"/>
        <v>0</v>
      </c>
      <c r="S10" s="370">
        <f t="shared" si="0"/>
        <v>47870.385000000002</v>
      </c>
      <c r="T10" s="370">
        <f t="shared" si="0"/>
        <v>0</v>
      </c>
      <c r="U10" s="370">
        <f t="shared" si="0"/>
        <v>47870.385000000002</v>
      </c>
      <c r="V10" s="370">
        <f t="shared" si="0"/>
        <v>25</v>
      </c>
      <c r="W10" s="370">
        <f t="shared" si="0"/>
        <v>11967.596250000001</v>
      </c>
      <c r="X10" s="370">
        <f t="shared" si="0"/>
        <v>59837.981250000004</v>
      </c>
      <c r="Y10" s="370">
        <f t="shared" si="0"/>
        <v>0</v>
      </c>
      <c r="Z10" s="370">
        <f t="shared" si="0"/>
        <v>0</v>
      </c>
      <c r="AA10" s="370">
        <f t="shared" si="0"/>
        <v>0</v>
      </c>
      <c r="AB10" s="370">
        <f t="shared" si="0"/>
        <v>0</v>
      </c>
      <c r="AC10" s="370">
        <f t="shared" si="0"/>
        <v>0</v>
      </c>
      <c r="AD10" s="370">
        <f t="shared" si="0"/>
        <v>0</v>
      </c>
      <c r="AE10" s="370">
        <f t="shared" si="0"/>
        <v>0</v>
      </c>
      <c r="AF10" s="370">
        <f t="shared" si="0"/>
        <v>0</v>
      </c>
      <c r="AG10" s="370">
        <f t="shared" si="0"/>
        <v>4.5</v>
      </c>
      <c r="AH10" s="370">
        <f t="shared" si="0"/>
        <v>884.84999999999991</v>
      </c>
      <c r="AI10" s="370">
        <f t="shared" si="0"/>
        <v>0</v>
      </c>
      <c r="AJ10" s="370">
        <f t="shared" si="0"/>
        <v>0</v>
      </c>
      <c r="AK10" s="370">
        <f t="shared" si="0"/>
        <v>4.5</v>
      </c>
      <c r="AL10" s="370">
        <f t="shared" si="0"/>
        <v>884.84999999999991</v>
      </c>
      <c r="AM10" s="370">
        <f t="shared" si="0"/>
        <v>0</v>
      </c>
      <c r="AN10" s="370">
        <f t="shared" si="0"/>
        <v>0</v>
      </c>
      <c r="AO10" s="370">
        <f t="shared" si="0"/>
        <v>0</v>
      </c>
      <c r="AP10" s="370">
        <f t="shared" si="0"/>
        <v>0</v>
      </c>
      <c r="AQ10" s="370">
        <f t="shared" si="0"/>
        <v>0</v>
      </c>
      <c r="AR10" s="370">
        <f t="shared" si="0"/>
        <v>0</v>
      </c>
      <c r="AS10" s="370">
        <f t="shared" si="0"/>
        <v>0</v>
      </c>
      <c r="AT10" s="370">
        <f t="shared" si="0"/>
        <v>0</v>
      </c>
      <c r="AU10" s="370">
        <f t="shared" si="0"/>
        <v>0</v>
      </c>
      <c r="AV10" s="370">
        <f t="shared" si="0"/>
        <v>0</v>
      </c>
      <c r="AW10" s="370">
        <f t="shared" si="0"/>
        <v>0</v>
      </c>
      <c r="AX10" s="370">
        <f t="shared" si="0"/>
        <v>0</v>
      </c>
      <c r="AY10" s="370">
        <f t="shared" si="0"/>
        <v>0</v>
      </c>
      <c r="AZ10" s="370">
        <f t="shared" si="0"/>
        <v>0</v>
      </c>
      <c r="BA10" s="370">
        <f t="shared" si="0"/>
        <v>0</v>
      </c>
      <c r="BB10" s="370">
        <f t="shared" si="0"/>
        <v>0</v>
      </c>
      <c r="BC10" s="370">
        <f t="shared" si="0"/>
        <v>0</v>
      </c>
      <c r="BD10" s="370">
        <f t="shared" si="0"/>
        <v>0</v>
      </c>
      <c r="BE10" s="370">
        <f t="shared" si="0"/>
        <v>0</v>
      </c>
      <c r="BF10" s="370">
        <f t="shared" si="0"/>
        <v>884.84999999999991</v>
      </c>
      <c r="BG10" s="370">
        <f t="shared" si="0"/>
        <v>60722.831250000003</v>
      </c>
      <c r="BH10" s="370">
        <f t="shared" si="0"/>
        <v>15180.707812500001</v>
      </c>
      <c r="BI10" s="370">
        <f t="shared" si="0"/>
        <v>728673.97500000009</v>
      </c>
      <c r="BJ10" s="370">
        <f t="shared" si="0"/>
        <v>0</v>
      </c>
      <c r="BK10" s="370">
        <f t="shared" si="0"/>
        <v>0</v>
      </c>
    </row>
    <row r="11" spans="1:63" ht="30.75">
      <c r="A11" s="706">
        <v>1</v>
      </c>
      <c r="B11" s="715" t="s">
        <v>188</v>
      </c>
      <c r="C11" s="212" t="s">
        <v>187</v>
      </c>
      <c r="D11" s="212" t="s">
        <v>163</v>
      </c>
      <c r="E11" s="219" t="s">
        <v>181</v>
      </c>
      <c r="F11" s="212">
        <v>1</v>
      </c>
      <c r="G11" s="221">
        <v>28</v>
      </c>
      <c r="H11" s="381">
        <v>5.2</v>
      </c>
      <c r="I11" s="281">
        <f t="shared" ref="I11:I17" si="1">ROUND((((J11+K11))/24)+(L11+M11+N11)/18,2)</f>
        <v>0.5</v>
      </c>
      <c r="J11" s="369"/>
      <c r="K11" s="369"/>
      <c r="L11" s="286">
        <v>2</v>
      </c>
      <c r="M11" s="283">
        <v>7</v>
      </c>
      <c r="N11" s="283"/>
      <c r="O11" s="282">
        <f t="shared" ref="O11:O17" si="2">SUM(J11:N11)</f>
        <v>9</v>
      </c>
      <c r="P11" s="231">
        <f t="shared" ref="P11:P17" si="3">SUM(($H$4*H11)/24)*J11</f>
        <v>0</v>
      </c>
      <c r="Q11" s="254">
        <f t="shared" ref="Q11:Q17" si="4">SUM(($H$4*H11)/24)*K11</f>
        <v>0</v>
      </c>
      <c r="R11" s="220">
        <f t="shared" ref="R11:R17" si="5">($H$4*H11)/18*L11</f>
        <v>10224.933333333334</v>
      </c>
      <c r="S11" s="220">
        <f t="shared" ref="S11:S17" si="6">($H$4*H11)*M11/18</f>
        <v>35787.26666666667</v>
      </c>
      <c r="T11" s="254">
        <f t="shared" ref="T11:T17" si="7">($H$4*H11)/18*N11</f>
        <v>0</v>
      </c>
      <c r="U11" s="220">
        <f t="shared" ref="U11:U17" si="8">SUM(P11:T11)</f>
        <v>46012.200000000004</v>
      </c>
      <c r="V11" s="229">
        <v>25</v>
      </c>
      <c r="W11" s="220">
        <f t="shared" ref="W11:W17" si="9">(U11*V11)/100</f>
        <v>11503.05</v>
      </c>
      <c r="X11" s="220">
        <f t="shared" ref="X11:X17" si="10">SUM(U11,W11)</f>
        <v>57515.25</v>
      </c>
      <c r="Y11" s="229"/>
      <c r="Z11" s="254">
        <f t="shared" ref="Z11:Z17" si="11">($H$4*0.25)*Y11/18</f>
        <v>0</v>
      </c>
      <c r="AA11" s="230"/>
      <c r="AB11" s="231">
        <f t="shared" ref="AB11:AB17" si="12">SUM(($H$4*0.25)/18)*AA11</f>
        <v>0</v>
      </c>
      <c r="AC11" s="231"/>
      <c r="AD11" s="231">
        <f t="shared" ref="AD11:AD17" si="13">SUM(($H$4*0.25)/18*AC11)</f>
        <v>0</v>
      </c>
      <c r="AE11" s="229"/>
      <c r="AF11" s="231">
        <f t="shared" ref="AF11:AF17" si="14">SUM(($H$4*0.2)/18)*AE11</f>
        <v>0</v>
      </c>
      <c r="AG11" s="229">
        <v>2</v>
      </c>
      <c r="AH11" s="220">
        <f t="shared" ref="AH11:AH17" si="15">SUM(($H$4*0.2)/18)*AG11</f>
        <v>393.26666666666665</v>
      </c>
      <c r="AI11" s="229"/>
      <c r="AJ11" s="213">
        <f t="shared" ref="AJ11:AJ17" si="16">SUM(($H$4*0.2)/18)*AI11</f>
        <v>0</v>
      </c>
      <c r="AK11" s="255">
        <f t="shared" ref="AK11:AK17" si="17">SUM(Y11,AA11,AC11,AE11,AG11,AI11)</f>
        <v>2</v>
      </c>
      <c r="AL11" s="220">
        <f t="shared" ref="AL11:AL17" si="18">SUM(Z11,AB11,AD11,AF11,AH11,AJ11)</f>
        <v>393.26666666666665</v>
      </c>
      <c r="AM11" s="228"/>
      <c r="AN11" s="231">
        <f t="shared" ref="AN11:AN17" si="19">SUM($H$4*0.25)*AM11</f>
        <v>0</v>
      </c>
      <c r="AO11" s="230"/>
      <c r="AP11" s="254">
        <f t="shared" ref="AP11:AP17" si="20">SUM($H$4*0.3)*AO11</f>
        <v>0</v>
      </c>
      <c r="AQ11" s="231"/>
      <c r="AR11" s="231">
        <f t="shared" ref="AR11:AR17" si="21">SUM($H$4*0.2*AQ11)</f>
        <v>0</v>
      </c>
      <c r="AS11" s="229"/>
      <c r="AT11" s="231">
        <f t="shared" ref="AT11:AT17" si="22">SUM($H$4*$H11*AS11/18)</f>
        <v>0</v>
      </c>
      <c r="AU11" s="229"/>
      <c r="AV11" s="231">
        <f t="shared" ref="AV11:AV17" si="23">SUM($H$4*$H11*AU11/18)*0.7</f>
        <v>0</v>
      </c>
      <c r="AW11" s="228"/>
      <c r="AX11" s="231">
        <f t="shared" ref="AX11:AX17" si="24">SUM($H$4*$H11*AW11/18)*0.3</f>
        <v>0</v>
      </c>
      <c r="AY11" s="229">
        <v>0.5</v>
      </c>
      <c r="AZ11" s="213">
        <f>SUM(($H$4*0.3))*AY11</f>
        <v>2654.5499999999997</v>
      </c>
      <c r="BA11" s="231"/>
      <c r="BB11" s="231">
        <f t="shared" ref="BB11:BB17" si="25">SUM($H$4*0.2)*BA11</f>
        <v>0</v>
      </c>
      <c r="BC11" s="231"/>
      <c r="BD11" s="213">
        <f t="shared" ref="BD11:BD17" si="26">((($H$4*BC11)/100)*20)/100</f>
        <v>0</v>
      </c>
      <c r="BE11" s="220"/>
      <c r="BF11" s="220">
        <f t="shared" ref="BF11:BF17" si="27">AL11+AN11+AP11+AT11+AV11+AX11+AZ11+BB11+BD11+BE11+AR11</f>
        <v>3047.8166666666666</v>
      </c>
      <c r="BG11" s="220">
        <f t="shared" ref="BG11:BG17" si="28">X11+BF11</f>
        <v>60563.066666666666</v>
      </c>
      <c r="BH11" s="596">
        <f t="shared" ref="BH11:BH49" si="29">BG11*25%</f>
        <v>15140.766666666666</v>
      </c>
      <c r="BI11" s="220">
        <f>BG11*12</f>
        <v>726756.8</v>
      </c>
      <c r="BJ11" s="71"/>
      <c r="BK11" s="429">
        <f t="shared" ref="BK11:BK17" si="30">SUM(($H$4*H11)+(($H$4*H11*V11)/100))*BJ11</f>
        <v>0</v>
      </c>
    </row>
    <row r="12" spans="1:63" ht="16.5" customHeight="1">
      <c r="A12" s="707"/>
      <c r="B12" s="716"/>
      <c r="C12" s="412" t="s">
        <v>285</v>
      </c>
      <c r="D12" s="212" t="s">
        <v>163</v>
      </c>
      <c r="E12" s="219" t="s">
        <v>181</v>
      </c>
      <c r="F12" s="212">
        <v>1</v>
      </c>
      <c r="G12" s="221">
        <v>28</v>
      </c>
      <c r="H12" s="381">
        <v>5.2</v>
      </c>
      <c r="I12" s="281">
        <f t="shared" si="1"/>
        <v>0.06</v>
      </c>
      <c r="J12" s="369"/>
      <c r="K12" s="369"/>
      <c r="L12" s="286"/>
      <c r="M12" s="283">
        <v>1</v>
      </c>
      <c r="N12" s="283"/>
      <c r="O12" s="282">
        <f t="shared" si="2"/>
        <v>1</v>
      </c>
      <c r="P12" s="231">
        <f t="shared" ref="P12" si="31">SUM(($H$4*H12)/24)*J12</f>
        <v>0</v>
      </c>
      <c r="Q12" s="254">
        <f t="shared" ref="Q12" si="32">SUM(($H$4*H12)/24)*K12</f>
        <v>0</v>
      </c>
      <c r="R12" s="220">
        <f t="shared" ref="R12" si="33">($H$4*H12)/18*L12</f>
        <v>0</v>
      </c>
      <c r="S12" s="220">
        <f t="shared" ref="S12" si="34">($H$4*H12)*M12/18</f>
        <v>5112.4666666666672</v>
      </c>
      <c r="T12" s="254">
        <f t="shared" ref="T12" si="35">($H$4*H12)/18*N12</f>
        <v>0</v>
      </c>
      <c r="U12" s="220">
        <f t="shared" ref="U12" si="36">SUM(P12:T12)</f>
        <v>5112.4666666666672</v>
      </c>
      <c r="V12" s="229">
        <v>25</v>
      </c>
      <c r="W12" s="220">
        <f t="shared" ref="W12" si="37">(U12*V12)/100</f>
        <v>1278.1166666666668</v>
      </c>
      <c r="X12" s="220">
        <f t="shared" ref="X12" si="38">SUM(U12,W12)</f>
        <v>6390.5833333333339</v>
      </c>
      <c r="Y12" s="229"/>
      <c r="Z12" s="254">
        <f t="shared" ref="Z12" si="39">($H$4*0.25)*Y12/18</f>
        <v>0</v>
      </c>
      <c r="AA12" s="230"/>
      <c r="AB12" s="231">
        <f t="shared" ref="AB12" si="40">SUM(($H$4*0.25)/18)*AA12</f>
        <v>0</v>
      </c>
      <c r="AC12" s="231"/>
      <c r="AD12" s="231">
        <f t="shared" ref="AD12" si="41">SUM(($H$4*0.25)/18*AC12)</f>
        <v>0</v>
      </c>
      <c r="AE12" s="229"/>
      <c r="AF12" s="231">
        <f t="shared" ref="AF12" si="42">SUM(($H$4*0.2)/18)*AE12</f>
        <v>0</v>
      </c>
      <c r="AG12" s="229"/>
      <c r="AH12" s="254">
        <f t="shared" ref="AH12" si="43">SUM(($H$4*0.2)/18)*AG12</f>
        <v>0</v>
      </c>
      <c r="AI12" s="229"/>
      <c r="AJ12" s="213">
        <f t="shared" ref="AJ12" si="44">SUM(($H$4*0.2)/18)*AI12</f>
        <v>0</v>
      </c>
      <c r="AK12" s="219"/>
      <c r="AL12" s="254">
        <f t="shared" si="18"/>
        <v>0</v>
      </c>
      <c r="AM12" s="228"/>
      <c r="AN12" s="231">
        <f t="shared" ref="AN12" si="45">SUM($H$4*0.25)*AM12</f>
        <v>0</v>
      </c>
      <c r="AO12" s="230"/>
      <c r="AP12" s="254">
        <f t="shared" ref="AP12" si="46">SUM($H$4*0.3)*AO12</f>
        <v>0</v>
      </c>
      <c r="AQ12" s="231"/>
      <c r="AR12" s="231">
        <f t="shared" ref="AR12" si="47">SUM($H$4*0.2*AQ12)</f>
        <v>0</v>
      </c>
      <c r="AS12" s="229"/>
      <c r="AT12" s="231">
        <f t="shared" ref="AT12" si="48">SUM($H$4*$H12*AS12/18)</f>
        <v>0</v>
      </c>
      <c r="AU12" s="229"/>
      <c r="AV12" s="231">
        <f t="shared" ref="AV12" si="49">SUM($H$4*$H12*AU12/18)*0.7</f>
        <v>0</v>
      </c>
      <c r="AW12" s="228"/>
      <c r="AX12" s="231">
        <f t="shared" ref="AX12" si="50">SUM($H$4*$H12*AW12/18)*0.3</f>
        <v>0</v>
      </c>
      <c r="AY12" s="229"/>
      <c r="AZ12" s="213">
        <f>SUM(($H$4*0.3))*AY12</f>
        <v>0</v>
      </c>
      <c r="BA12" s="231"/>
      <c r="BB12" s="231">
        <f t="shared" ref="BB12" si="51">SUM($H$4*0.2)*BA12</f>
        <v>0</v>
      </c>
      <c r="BC12" s="231"/>
      <c r="BD12" s="213">
        <f t="shared" ref="BD12" si="52">((($H$4*BC12)/100)*20)/100</f>
        <v>0</v>
      </c>
      <c r="BE12" s="220"/>
      <c r="BF12" s="220">
        <f t="shared" ref="BF12" si="53">AL12+AN12+AP12+AT12+AV12+AX12+AZ12+BB12+BD12+BE12+AR12</f>
        <v>0</v>
      </c>
      <c r="BG12" s="220">
        <f t="shared" ref="BG12" si="54">X12+BF12</f>
        <v>6390.5833333333339</v>
      </c>
      <c r="BH12" s="596">
        <f t="shared" si="29"/>
        <v>1597.6458333333335</v>
      </c>
      <c r="BI12" s="220">
        <f t="shared" ref="BI12:BI17" si="55">BG12*12</f>
        <v>76687</v>
      </c>
      <c r="BJ12" s="71"/>
      <c r="BK12" s="429">
        <f t="shared" si="30"/>
        <v>0</v>
      </c>
    </row>
    <row r="13" spans="1:63" ht="31.5">
      <c r="A13" s="4">
        <v>2</v>
      </c>
      <c r="B13" s="135" t="s">
        <v>173</v>
      </c>
      <c r="C13" s="212" t="s">
        <v>186</v>
      </c>
      <c r="D13" s="212" t="s">
        <v>163</v>
      </c>
      <c r="E13" s="130" t="s">
        <v>181</v>
      </c>
      <c r="F13" s="212">
        <v>1</v>
      </c>
      <c r="G13" s="221">
        <v>35</v>
      </c>
      <c r="H13" s="381">
        <v>5.2</v>
      </c>
      <c r="I13" s="281">
        <f t="shared" si="1"/>
        <v>1.28</v>
      </c>
      <c r="J13" s="369"/>
      <c r="K13" s="369"/>
      <c r="L13" s="286"/>
      <c r="M13" s="283">
        <v>23</v>
      </c>
      <c r="N13" s="283"/>
      <c r="O13" s="282">
        <f t="shared" si="2"/>
        <v>23</v>
      </c>
      <c r="P13" s="231">
        <f t="shared" si="3"/>
        <v>0</v>
      </c>
      <c r="Q13" s="254">
        <f t="shared" si="4"/>
        <v>0</v>
      </c>
      <c r="R13" s="254">
        <f t="shared" si="5"/>
        <v>0</v>
      </c>
      <c r="S13" s="220">
        <f t="shared" si="6"/>
        <v>117586.73333333334</v>
      </c>
      <c r="T13" s="254">
        <f t="shared" si="7"/>
        <v>0</v>
      </c>
      <c r="U13" s="220">
        <f t="shared" si="8"/>
        <v>117586.73333333334</v>
      </c>
      <c r="V13" s="229">
        <v>25</v>
      </c>
      <c r="W13" s="220">
        <f t="shared" si="9"/>
        <v>29396.683333333334</v>
      </c>
      <c r="X13" s="220">
        <f t="shared" si="10"/>
        <v>146983.41666666669</v>
      </c>
      <c r="Y13" s="229"/>
      <c r="Z13" s="254">
        <f t="shared" si="11"/>
        <v>0</v>
      </c>
      <c r="AA13" s="230"/>
      <c r="AB13" s="231">
        <f t="shared" si="12"/>
        <v>0</v>
      </c>
      <c r="AC13" s="231"/>
      <c r="AD13" s="231">
        <f t="shared" si="13"/>
        <v>0</v>
      </c>
      <c r="AE13" s="229"/>
      <c r="AF13" s="231">
        <f t="shared" si="14"/>
        <v>0</v>
      </c>
      <c r="AG13" s="229">
        <v>10</v>
      </c>
      <c r="AH13" s="220">
        <f>SUM(($H$4*0.2)/18)*AG13</f>
        <v>1966.3333333333333</v>
      </c>
      <c r="AI13" s="229"/>
      <c r="AJ13" s="213">
        <f t="shared" si="16"/>
        <v>0</v>
      </c>
      <c r="AK13" s="255">
        <f t="shared" si="17"/>
        <v>10</v>
      </c>
      <c r="AL13" s="220">
        <f t="shared" si="18"/>
        <v>1966.3333333333333</v>
      </c>
      <c r="AM13" s="228"/>
      <c r="AN13" s="231">
        <f t="shared" si="19"/>
        <v>0</v>
      </c>
      <c r="AO13" s="230">
        <v>0.5</v>
      </c>
      <c r="AP13" s="220">
        <f t="shared" si="20"/>
        <v>2654.5499999999997</v>
      </c>
      <c r="AQ13" s="231"/>
      <c r="AR13" s="231">
        <f t="shared" si="21"/>
        <v>0</v>
      </c>
      <c r="AS13" s="229"/>
      <c r="AT13" s="231">
        <f t="shared" si="22"/>
        <v>0</v>
      </c>
      <c r="AU13" s="229"/>
      <c r="AV13" s="231">
        <f t="shared" si="23"/>
        <v>0</v>
      </c>
      <c r="AW13" s="228"/>
      <c r="AX13" s="231">
        <f t="shared" si="24"/>
        <v>0</v>
      </c>
      <c r="AY13" s="229"/>
      <c r="AZ13" s="213">
        <f t="shared" ref="AZ13:AZ17" si="56">SUM(($H$4*0.25)/18)*AY13</f>
        <v>0</v>
      </c>
      <c r="BA13" s="231"/>
      <c r="BB13" s="231">
        <f t="shared" si="25"/>
        <v>0</v>
      </c>
      <c r="BC13" s="231"/>
      <c r="BD13" s="213">
        <f t="shared" si="26"/>
        <v>0</v>
      </c>
      <c r="BE13" s="220">
        <f t="shared" ref="BE13:BE17" si="57">SUM(U13*0.1)</f>
        <v>11758.673333333334</v>
      </c>
      <c r="BF13" s="220">
        <f t="shared" si="27"/>
        <v>16379.556666666667</v>
      </c>
      <c r="BG13" s="220">
        <f t="shared" si="28"/>
        <v>163362.97333333336</v>
      </c>
      <c r="BH13" s="596">
        <f t="shared" si="29"/>
        <v>40840.743333333339</v>
      </c>
      <c r="BI13" s="220">
        <f t="shared" si="55"/>
        <v>1960355.6800000002</v>
      </c>
      <c r="BJ13" s="71">
        <v>1</v>
      </c>
      <c r="BK13" s="429">
        <f t="shared" si="30"/>
        <v>115030.5</v>
      </c>
    </row>
    <row r="14" spans="1:63" ht="31.5">
      <c r="A14" s="385">
        <v>3</v>
      </c>
      <c r="B14" s="135" t="s">
        <v>185</v>
      </c>
      <c r="C14" s="212" t="s">
        <v>414</v>
      </c>
      <c r="D14" s="212" t="s">
        <v>163</v>
      </c>
      <c r="E14" s="219" t="s">
        <v>181</v>
      </c>
      <c r="F14" s="212">
        <v>1</v>
      </c>
      <c r="G14" s="212">
        <v>31.05</v>
      </c>
      <c r="H14" s="380">
        <v>5.2</v>
      </c>
      <c r="I14" s="281">
        <f t="shared" si="1"/>
        <v>1.33</v>
      </c>
      <c r="J14" s="282"/>
      <c r="K14" s="282"/>
      <c r="L14" s="283">
        <v>24</v>
      </c>
      <c r="M14" s="283"/>
      <c r="N14" s="283"/>
      <c r="O14" s="282">
        <f t="shared" si="2"/>
        <v>24</v>
      </c>
      <c r="P14" s="231">
        <f t="shared" si="3"/>
        <v>0</v>
      </c>
      <c r="Q14" s="254">
        <f t="shared" si="4"/>
        <v>0</v>
      </c>
      <c r="R14" s="220">
        <f t="shared" si="5"/>
        <v>122699.20000000001</v>
      </c>
      <c r="S14" s="254">
        <f t="shared" si="6"/>
        <v>0</v>
      </c>
      <c r="T14" s="254">
        <f t="shared" si="7"/>
        <v>0</v>
      </c>
      <c r="U14" s="220">
        <f t="shared" si="8"/>
        <v>122699.20000000001</v>
      </c>
      <c r="V14" s="229">
        <v>25</v>
      </c>
      <c r="W14" s="220">
        <f t="shared" si="9"/>
        <v>30674.800000000003</v>
      </c>
      <c r="X14" s="220">
        <f t="shared" si="10"/>
        <v>153374</v>
      </c>
      <c r="Y14" s="229"/>
      <c r="Z14" s="254">
        <f t="shared" si="11"/>
        <v>0</v>
      </c>
      <c r="AA14" s="230"/>
      <c r="AB14" s="231">
        <f t="shared" si="12"/>
        <v>0</v>
      </c>
      <c r="AC14" s="231"/>
      <c r="AD14" s="231">
        <f t="shared" si="13"/>
        <v>0</v>
      </c>
      <c r="AE14" s="229">
        <v>9</v>
      </c>
      <c r="AF14" s="220">
        <f t="shared" si="14"/>
        <v>1769.6999999999998</v>
      </c>
      <c r="AG14" s="229"/>
      <c r="AH14" s="213">
        <f t="shared" si="15"/>
        <v>0</v>
      </c>
      <c r="AI14" s="229"/>
      <c r="AJ14" s="213">
        <f t="shared" si="16"/>
        <v>0</v>
      </c>
      <c r="AK14" s="255">
        <f t="shared" si="17"/>
        <v>9</v>
      </c>
      <c r="AL14" s="220">
        <f t="shared" si="18"/>
        <v>1769.6999999999998</v>
      </c>
      <c r="AM14" s="228">
        <v>0.5</v>
      </c>
      <c r="AN14" s="220">
        <f t="shared" si="19"/>
        <v>2212.125</v>
      </c>
      <c r="AO14" s="230"/>
      <c r="AP14" s="254">
        <f t="shared" si="20"/>
        <v>0</v>
      </c>
      <c r="AQ14" s="231"/>
      <c r="AR14" s="231">
        <f t="shared" si="21"/>
        <v>0</v>
      </c>
      <c r="AS14" s="229"/>
      <c r="AT14" s="231">
        <f t="shared" si="22"/>
        <v>0</v>
      </c>
      <c r="AU14" s="229"/>
      <c r="AV14" s="231">
        <f t="shared" si="23"/>
        <v>0</v>
      </c>
      <c r="AW14" s="228"/>
      <c r="AX14" s="231">
        <f t="shared" si="24"/>
        <v>0</v>
      </c>
      <c r="AY14" s="229"/>
      <c r="AZ14" s="213">
        <f t="shared" si="56"/>
        <v>0</v>
      </c>
      <c r="BA14" s="231"/>
      <c r="BB14" s="231">
        <f t="shared" si="25"/>
        <v>0</v>
      </c>
      <c r="BC14" s="231"/>
      <c r="BD14" s="213">
        <f t="shared" si="26"/>
        <v>0</v>
      </c>
      <c r="BE14" s="220">
        <f t="shared" si="57"/>
        <v>12269.920000000002</v>
      </c>
      <c r="BF14" s="220">
        <f t="shared" si="27"/>
        <v>16251.745000000003</v>
      </c>
      <c r="BG14" s="220">
        <f t="shared" si="28"/>
        <v>169625.745</v>
      </c>
      <c r="BH14" s="596">
        <f t="shared" si="29"/>
        <v>42406.436249999999</v>
      </c>
      <c r="BI14" s="220">
        <f t="shared" si="55"/>
        <v>2035508.94</v>
      </c>
      <c r="BJ14" s="71">
        <v>1</v>
      </c>
      <c r="BK14" s="429">
        <f t="shared" si="30"/>
        <v>115030.5</v>
      </c>
    </row>
    <row r="15" spans="1:63" ht="31.5">
      <c r="A15" s="4">
        <v>4</v>
      </c>
      <c r="B15" s="133" t="s">
        <v>168</v>
      </c>
      <c r="C15" s="212" t="s">
        <v>294</v>
      </c>
      <c r="D15" s="212" t="s">
        <v>163</v>
      </c>
      <c r="E15" s="130" t="s">
        <v>181</v>
      </c>
      <c r="F15" s="212">
        <v>1</v>
      </c>
      <c r="G15" s="212">
        <v>23.01</v>
      </c>
      <c r="H15" s="380">
        <v>5.12</v>
      </c>
      <c r="I15" s="281">
        <f t="shared" si="1"/>
        <v>1.5</v>
      </c>
      <c r="J15" s="282"/>
      <c r="K15" s="281"/>
      <c r="L15" s="283"/>
      <c r="M15" s="283">
        <v>27</v>
      </c>
      <c r="N15" s="283"/>
      <c r="O15" s="282">
        <f t="shared" si="2"/>
        <v>27</v>
      </c>
      <c r="P15" s="231">
        <f t="shared" si="3"/>
        <v>0</v>
      </c>
      <c r="Q15" s="254">
        <f t="shared" si="4"/>
        <v>0</v>
      </c>
      <c r="R15" s="254">
        <f t="shared" si="5"/>
        <v>0</v>
      </c>
      <c r="S15" s="220">
        <f t="shared" si="6"/>
        <v>135912.95999999999</v>
      </c>
      <c r="T15" s="254">
        <f t="shared" si="7"/>
        <v>0</v>
      </c>
      <c r="U15" s="220">
        <f t="shared" si="8"/>
        <v>135912.95999999999</v>
      </c>
      <c r="V15" s="229">
        <v>25</v>
      </c>
      <c r="W15" s="220">
        <f t="shared" si="9"/>
        <v>33978.239999999998</v>
      </c>
      <c r="X15" s="220">
        <f t="shared" si="10"/>
        <v>169891.19999999998</v>
      </c>
      <c r="Y15" s="229"/>
      <c r="Z15" s="254">
        <f t="shared" si="11"/>
        <v>0</v>
      </c>
      <c r="AA15" s="230"/>
      <c r="AB15" s="231">
        <f t="shared" si="12"/>
        <v>0</v>
      </c>
      <c r="AC15" s="231"/>
      <c r="AD15" s="231">
        <f t="shared" si="13"/>
        <v>0</v>
      </c>
      <c r="AE15" s="229"/>
      <c r="AF15" s="231">
        <f t="shared" si="14"/>
        <v>0</v>
      </c>
      <c r="AG15" s="229">
        <v>5</v>
      </c>
      <c r="AH15" s="220">
        <f t="shared" si="15"/>
        <v>983.16666666666663</v>
      </c>
      <c r="AI15" s="229"/>
      <c r="AJ15" s="213">
        <f t="shared" si="16"/>
        <v>0</v>
      </c>
      <c r="AK15" s="255">
        <f t="shared" si="17"/>
        <v>5</v>
      </c>
      <c r="AL15" s="220">
        <f t="shared" si="18"/>
        <v>983.16666666666663</v>
      </c>
      <c r="AM15" s="228"/>
      <c r="AN15" s="231">
        <f t="shared" si="19"/>
        <v>0</v>
      </c>
      <c r="AO15" s="230">
        <v>1</v>
      </c>
      <c r="AP15" s="220">
        <f t="shared" si="20"/>
        <v>5309.0999999999995</v>
      </c>
      <c r="AQ15" s="231"/>
      <c r="AR15" s="231">
        <f t="shared" si="21"/>
        <v>0</v>
      </c>
      <c r="AS15" s="229"/>
      <c r="AT15" s="231">
        <f t="shared" si="22"/>
        <v>0</v>
      </c>
      <c r="AU15" s="229"/>
      <c r="AV15" s="231">
        <f t="shared" si="23"/>
        <v>0</v>
      </c>
      <c r="AW15" s="228"/>
      <c r="AX15" s="220">
        <f t="shared" si="24"/>
        <v>0</v>
      </c>
      <c r="AY15" s="229"/>
      <c r="AZ15" s="213">
        <f t="shared" si="56"/>
        <v>0</v>
      </c>
      <c r="BA15" s="231"/>
      <c r="BB15" s="231">
        <f t="shared" si="25"/>
        <v>0</v>
      </c>
      <c r="BC15" s="231"/>
      <c r="BD15" s="213">
        <f t="shared" si="26"/>
        <v>0</v>
      </c>
      <c r="BE15" s="220">
        <f t="shared" si="57"/>
        <v>13591.296</v>
      </c>
      <c r="BF15" s="220">
        <f t="shared" si="27"/>
        <v>19883.562666666665</v>
      </c>
      <c r="BG15" s="220">
        <f t="shared" si="28"/>
        <v>189774.76266666665</v>
      </c>
      <c r="BH15" s="596">
        <f t="shared" si="29"/>
        <v>47443.690666666662</v>
      </c>
      <c r="BI15" s="220">
        <f t="shared" si="55"/>
        <v>2277297.1519999998</v>
      </c>
      <c r="BJ15" s="71">
        <v>1</v>
      </c>
      <c r="BK15" s="429">
        <f t="shared" si="30"/>
        <v>113260.8</v>
      </c>
    </row>
    <row r="16" spans="1:63" ht="30.75" customHeight="1">
      <c r="A16" s="457">
        <v>5</v>
      </c>
      <c r="B16" s="455" t="s">
        <v>184</v>
      </c>
      <c r="C16" s="212" t="s">
        <v>415</v>
      </c>
      <c r="D16" s="212" t="s">
        <v>163</v>
      </c>
      <c r="E16" s="219" t="s">
        <v>181</v>
      </c>
      <c r="F16" s="212">
        <v>1</v>
      </c>
      <c r="G16" s="212">
        <v>39</v>
      </c>
      <c r="H16" s="380">
        <v>5.2</v>
      </c>
      <c r="I16" s="281">
        <f t="shared" si="1"/>
        <v>1.22</v>
      </c>
      <c r="J16" s="282"/>
      <c r="K16" s="282"/>
      <c r="L16" s="283">
        <v>22</v>
      </c>
      <c r="M16" s="283"/>
      <c r="N16" s="283"/>
      <c r="O16" s="282">
        <f t="shared" si="2"/>
        <v>22</v>
      </c>
      <c r="P16" s="231">
        <f t="shared" si="3"/>
        <v>0</v>
      </c>
      <c r="Q16" s="254">
        <f t="shared" si="4"/>
        <v>0</v>
      </c>
      <c r="R16" s="220">
        <f t="shared" si="5"/>
        <v>112474.26666666668</v>
      </c>
      <c r="S16" s="254">
        <f t="shared" si="6"/>
        <v>0</v>
      </c>
      <c r="T16" s="254">
        <f t="shared" si="7"/>
        <v>0</v>
      </c>
      <c r="U16" s="220">
        <f t="shared" si="8"/>
        <v>112474.26666666668</v>
      </c>
      <c r="V16" s="229">
        <v>25</v>
      </c>
      <c r="W16" s="220">
        <f t="shared" si="9"/>
        <v>28118.566666666669</v>
      </c>
      <c r="X16" s="220">
        <f t="shared" si="10"/>
        <v>140592.83333333334</v>
      </c>
      <c r="Y16" s="229"/>
      <c r="Z16" s="254">
        <f t="shared" si="11"/>
        <v>0</v>
      </c>
      <c r="AA16" s="230"/>
      <c r="AB16" s="231">
        <f t="shared" si="12"/>
        <v>0</v>
      </c>
      <c r="AC16" s="231"/>
      <c r="AD16" s="231">
        <f t="shared" si="13"/>
        <v>0</v>
      </c>
      <c r="AE16" s="229">
        <v>9</v>
      </c>
      <c r="AF16" s="220">
        <f t="shared" si="14"/>
        <v>1769.6999999999998</v>
      </c>
      <c r="AG16" s="229"/>
      <c r="AH16" s="213">
        <f t="shared" si="15"/>
        <v>0</v>
      </c>
      <c r="AI16" s="229"/>
      <c r="AJ16" s="213">
        <f t="shared" si="16"/>
        <v>0</v>
      </c>
      <c r="AK16" s="255">
        <f t="shared" si="17"/>
        <v>9</v>
      </c>
      <c r="AL16" s="220">
        <f t="shared" si="18"/>
        <v>1769.6999999999998</v>
      </c>
      <c r="AM16" s="228">
        <v>0.5</v>
      </c>
      <c r="AN16" s="220">
        <f t="shared" si="19"/>
        <v>2212.125</v>
      </c>
      <c r="AO16" s="230"/>
      <c r="AP16" s="254">
        <f t="shared" si="20"/>
        <v>0</v>
      </c>
      <c r="AQ16" s="231"/>
      <c r="AR16" s="231">
        <f t="shared" si="21"/>
        <v>0</v>
      </c>
      <c r="AS16" s="229"/>
      <c r="AT16" s="231">
        <f t="shared" si="22"/>
        <v>0</v>
      </c>
      <c r="AU16" s="229"/>
      <c r="AV16" s="231">
        <f t="shared" si="23"/>
        <v>0</v>
      </c>
      <c r="AW16" s="228"/>
      <c r="AX16" s="231">
        <f t="shared" si="24"/>
        <v>0</v>
      </c>
      <c r="AY16" s="229"/>
      <c r="AZ16" s="213">
        <f t="shared" si="56"/>
        <v>0</v>
      </c>
      <c r="BA16" s="231"/>
      <c r="BB16" s="231">
        <f t="shared" si="25"/>
        <v>0</v>
      </c>
      <c r="BC16" s="231"/>
      <c r="BD16" s="213">
        <f t="shared" si="26"/>
        <v>0</v>
      </c>
      <c r="BE16" s="220">
        <f t="shared" si="57"/>
        <v>11247.426666666668</v>
      </c>
      <c r="BF16" s="220">
        <f t="shared" si="27"/>
        <v>15229.251666666667</v>
      </c>
      <c r="BG16" s="220">
        <f t="shared" si="28"/>
        <v>155822.08500000002</v>
      </c>
      <c r="BH16" s="596">
        <f t="shared" si="29"/>
        <v>38955.521250000005</v>
      </c>
      <c r="BI16" s="220">
        <f t="shared" si="55"/>
        <v>1869865.0200000003</v>
      </c>
      <c r="BJ16" s="71">
        <v>1</v>
      </c>
      <c r="BK16" s="429">
        <f t="shared" si="30"/>
        <v>115030.5</v>
      </c>
    </row>
    <row r="17" spans="1:63" ht="30.75">
      <c r="A17" s="4">
        <v>6</v>
      </c>
      <c r="B17" s="256" t="s">
        <v>183</v>
      </c>
      <c r="C17" s="212" t="s">
        <v>182</v>
      </c>
      <c r="D17" s="212" t="s">
        <v>163</v>
      </c>
      <c r="E17" s="219" t="s">
        <v>181</v>
      </c>
      <c r="F17" s="212">
        <v>1</v>
      </c>
      <c r="G17" s="212">
        <v>29.05</v>
      </c>
      <c r="H17" s="381">
        <v>5.2</v>
      </c>
      <c r="I17" s="281">
        <f t="shared" si="1"/>
        <v>1.5</v>
      </c>
      <c r="J17" s="282"/>
      <c r="K17" s="282"/>
      <c r="L17" s="283">
        <v>2</v>
      </c>
      <c r="M17" s="283">
        <v>25</v>
      </c>
      <c r="N17" s="283"/>
      <c r="O17" s="282">
        <f t="shared" si="2"/>
        <v>27</v>
      </c>
      <c r="P17" s="231">
        <f t="shared" si="3"/>
        <v>0</v>
      </c>
      <c r="Q17" s="254">
        <f t="shared" si="4"/>
        <v>0</v>
      </c>
      <c r="R17" s="220">
        <f t="shared" si="5"/>
        <v>10224.933333333334</v>
      </c>
      <c r="S17" s="220">
        <f t="shared" si="6"/>
        <v>127811.66666666667</v>
      </c>
      <c r="T17" s="254">
        <f t="shared" si="7"/>
        <v>0</v>
      </c>
      <c r="U17" s="220">
        <f t="shared" si="8"/>
        <v>138036.6</v>
      </c>
      <c r="V17" s="229">
        <v>25</v>
      </c>
      <c r="W17" s="220">
        <f t="shared" si="9"/>
        <v>34509.15</v>
      </c>
      <c r="X17" s="220">
        <f t="shared" si="10"/>
        <v>172545.75</v>
      </c>
      <c r="Y17" s="229"/>
      <c r="Z17" s="254">
        <f t="shared" si="11"/>
        <v>0</v>
      </c>
      <c r="AA17" s="230"/>
      <c r="AB17" s="231">
        <f t="shared" si="12"/>
        <v>0</v>
      </c>
      <c r="AC17" s="231"/>
      <c r="AD17" s="231">
        <f t="shared" si="13"/>
        <v>0</v>
      </c>
      <c r="AE17" s="229"/>
      <c r="AF17" s="231">
        <f t="shared" si="14"/>
        <v>0</v>
      </c>
      <c r="AG17" s="229">
        <v>10</v>
      </c>
      <c r="AH17" s="220">
        <f t="shared" si="15"/>
        <v>1966.3333333333333</v>
      </c>
      <c r="AI17" s="229"/>
      <c r="AJ17" s="213">
        <f t="shared" si="16"/>
        <v>0</v>
      </c>
      <c r="AK17" s="255">
        <f t="shared" si="17"/>
        <v>10</v>
      </c>
      <c r="AL17" s="220">
        <f t="shared" si="18"/>
        <v>1966.3333333333333</v>
      </c>
      <c r="AM17" s="228"/>
      <c r="AN17" s="231">
        <f t="shared" si="19"/>
        <v>0</v>
      </c>
      <c r="AO17" s="230">
        <v>0.5</v>
      </c>
      <c r="AP17" s="220">
        <f t="shared" si="20"/>
        <v>2654.5499999999997</v>
      </c>
      <c r="AQ17" s="231"/>
      <c r="AR17" s="231">
        <f t="shared" si="21"/>
        <v>0</v>
      </c>
      <c r="AS17" s="229"/>
      <c r="AT17" s="231">
        <f t="shared" si="22"/>
        <v>0</v>
      </c>
      <c r="AU17" s="229"/>
      <c r="AV17" s="231">
        <f t="shared" si="23"/>
        <v>0</v>
      </c>
      <c r="AW17" s="228"/>
      <c r="AX17" s="231">
        <f t="shared" si="24"/>
        <v>0</v>
      </c>
      <c r="AY17" s="229"/>
      <c r="AZ17" s="213">
        <f t="shared" si="56"/>
        <v>0</v>
      </c>
      <c r="BA17" s="231"/>
      <c r="BB17" s="231">
        <f t="shared" si="25"/>
        <v>0</v>
      </c>
      <c r="BC17" s="231"/>
      <c r="BD17" s="213">
        <f t="shared" si="26"/>
        <v>0</v>
      </c>
      <c r="BE17" s="220">
        <f t="shared" si="57"/>
        <v>13803.660000000002</v>
      </c>
      <c r="BF17" s="220">
        <f t="shared" si="27"/>
        <v>18424.543333333335</v>
      </c>
      <c r="BG17" s="220">
        <f t="shared" si="28"/>
        <v>190970.29333333333</v>
      </c>
      <c r="BH17" s="596">
        <f t="shared" si="29"/>
        <v>47742.573333333334</v>
      </c>
      <c r="BI17" s="220">
        <f t="shared" si="55"/>
        <v>2291643.52</v>
      </c>
      <c r="BJ17" s="71">
        <v>1</v>
      </c>
      <c r="BK17" s="429">
        <f t="shared" si="30"/>
        <v>115030.5</v>
      </c>
    </row>
    <row r="18" spans="1:63" s="72" customFormat="1">
      <c r="A18" s="84"/>
      <c r="B18" s="126" t="s">
        <v>99</v>
      </c>
      <c r="C18" s="213"/>
      <c r="D18" s="213"/>
      <c r="E18" s="219"/>
      <c r="F18" s="130"/>
      <c r="G18" s="220"/>
      <c r="H18" s="289"/>
      <c r="I18" s="370">
        <f t="shared" ref="I18:BK18" si="58">SUM(I11:I17)</f>
        <v>7.39</v>
      </c>
      <c r="J18" s="370">
        <f t="shared" si="58"/>
        <v>0</v>
      </c>
      <c r="K18" s="370">
        <f t="shared" si="58"/>
        <v>0</v>
      </c>
      <c r="L18" s="370">
        <f t="shared" si="58"/>
        <v>50</v>
      </c>
      <c r="M18" s="370">
        <f t="shared" si="58"/>
        <v>83</v>
      </c>
      <c r="N18" s="370">
        <f t="shared" si="58"/>
        <v>0</v>
      </c>
      <c r="O18" s="370">
        <f t="shared" si="58"/>
        <v>133</v>
      </c>
      <c r="P18" s="370">
        <f t="shared" si="58"/>
        <v>0</v>
      </c>
      <c r="Q18" s="370">
        <f t="shared" si="58"/>
        <v>0</v>
      </c>
      <c r="R18" s="370">
        <f t="shared" si="58"/>
        <v>255623.33333333337</v>
      </c>
      <c r="S18" s="370">
        <f t="shared" si="58"/>
        <v>422211.09333333332</v>
      </c>
      <c r="T18" s="370">
        <f t="shared" si="58"/>
        <v>0</v>
      </c>
      <c r="U18" s="370">
        <f t="shared" si="58"/>
        <v>677834.42666666675</v>
      </c>
      <c r="V18" s="370">
        <f t="shared" si="58"/>
        <v>175</v>
      </c>
      <c r="W18" s="370">
        <f t="shared" si="58"/>
        <v>169458.60666666666</v>
      </c>
      <c r="X18" s="370">
        <f t="shared" si="58"/>
        <v>847293.03333333333</v>
      </c>
      <c r="Y18" s="370">
        <f t="shared" si="58"/>
        <v>0</v>
      </c>
      <c r="Z18" s="370">
        <f t="shared" si="58"/>
        <v>0</v>
      </c>
      <c r="AA18" s="370">
        <f t="shared" si="58"/>
        <v>0</v>
      </c>
      <c r="AB18" s="370">
        <f t="shared" si="58"/>
        <v>0</v>
      </c>
      <c r="AC18" s="370">
        <f t="shared" si="58"/>
        <v>0</v>
      </c>
      <c r="AD18" s="370">
        <f t="shared" si="58"/>
        <v>0</v>
      </c>
      <c r="AE18" s="370">
        <f t="shared" si="58"/>
        <v>18</v>
      </c>
      <c r="AF18" s="370">
        <f t="shared" si="58"/>
        <v>3539.3999999999996</v>
      </c>
      <c r="AG18" s="370">
        <f t="shared" si="58"/>
        <v>27</v>
      </c>
      <c r="AH18" s="370">
        <f t="shared" si="58"/>
        <v>5309.0999999999995</v>
      </c>
      <c r="AI18" s="370">
        <f t="shared" si="58"/>
        <v>0</v>
      </c>
      <c r="AJ18" s="370">
        <f t="shared" si="58"/>
        <v>0</v>
      </c>
      <c r="AK18" s="370">
        <f t="shared" si="58"/>
        <v>45</v>
      </c>
      <c r="AL18" s="370">
        <f t="shared" si="58"/>
        <v>8848.5</v>
      </c>
      <c r="AM18" s="370">
        <f t="shared" si="58"/>
        <v>1</v>
      </c>
      <c r="AN18" s="370">
        <f t="shared" si="58"/>
        <v>4424.25</v>
      </c>
      <c r="AO18" s="370">
        <f t="shared" si="58"/>
        <v>2</v>
      </c>
      <c r="AP18" s="370">
        <f t="shared" si="58"/>
        <v>10618.199999999999</v>
      </c>
      <c r="AQ18" s="370">
        <f t="shared" si="58"/>
        <v>0</v>
      </c>
      <c r="AR18" s="370">
        <f t="shared" si="58"/>
        <v>0</v>
      </c>
      <c r="AS18" s="370">
        <f t="shared" si="58"/>
        <v>0</v>
      </c>
      <c r="AT18" s="370">
        <f t="shared" si="58"/>
        <v>0</v>
      </c>
      <c r="AU18" s="370">
        <f t="shared" si="58"/>
        <v>0</v>
      </c>
      <c r="AV18" s="370">
        <f t="shared" si="58"/>
        <v>0</v>
      </c>
      <c r="AW18" s="370">
        <f t="shared" si="58"/>
        <v>0</v>
      </c>
      <c r="AX18" s="370">
        <f t="shared" si="58"/>
        <v>0</v>
      </c>
      <c r="AY18" s="370">
        <f t="shared" si="58"/>
        <v>0.5</v>
      </c>
      <c r="AZ18" s="370">
        <f t="shared" si="58"/>
        <v>2654.5499999999997</v>
      </c>
      <c r="BA18" s="370">
        <f t="shared" si="58"/>
        <v>0</v>
      </c>
      <c r="BB18" s="370">
        <f t="shared" si="58"/>
        <v>0</v>
      </c>
      <c r="BC18" s="370">
        <f t="shared" si="58"/>
        <v>0</v>
      </c>
      <c r="BD18" s="370">
        <f t="shared" si="58"/>
        <v>0</v>
      </c>
      <c r="BE18" s="370">
        <f t="shared" si="58"/>
        <v>62670.97600000001</v>
      </c>
      <c r="BF18" s="370">
        <f t="shared" si="58"/>
        <v>89216.475999999995</v>
      </c>
      <c r="BG18" s="370">
        <f t="shared" si="58"/>
        <v>936509.50933333335</v>
      </c>
      <c r="BH18" s="370">
        <f t="shared" si="58"/>
        <v>234127.37733333334</v>
      </c>
      <c r="BI18" s="370">
        <f t="shared" si="58"/>
        <v>11238114.112</v>
      </c>
      <c r="BJ18" s="370">
        <f t="shared" si="58"/>
        <v>5</v>
      </c>
      <c r="BK18" s="370">
        <f t="shared" si="58"/>
        <v>573382.80000000005</v>
      </c>
    </row>
    <row r="19" spans="1:63" ht="31.5">
      <c r="A19" s="4">
        <v>1</v>
      </c>
      <c r="B19" s="135" t="s">
        <v>180</v>
      </c>
      <c r="C19" s="212" t="s">
        <v>416</v>
      </c>
      <c r="D19" s="212" t="s">
        <v>163</v>
      </c>
      <c r="E19" s="130" t="s">
        <v>174</v>
      </c>
      <c r="F19" s="212">
        <v>2</v>
      </c>
      <c r="G19" s="221">
        <v>20.05</v>
      </c>
      <c r="H19" s="380">
        <v>5.08</v>
      </c>
      <c r="I19" s="281">
        <f t="shared" ref="I19:I23" si="59">ROUND((((J19+K19))/24)+(L19+M19+N19)/18,2)</f>
        <v>1.06</v>
      </c>
      <c r="J19" s="369"/>
      <c r="K19" s="369"/>
      <c r="L19" s="286">
        <v>19</v>
      </c>
      <c r="M19" s="283"/>
      <c r="N19" s="283"/>
      <c r="O19" s="282">
        <f t="shared" ref="O19:O23" si="60">SUM(J19:N19)</f>
        <v>19</v>
      </c>
      <c r="P19" s="231">
        <f t="shared" ref="P19:P23" si="61">SUM(($H$4*H19)/24)*J19</f>
        <v>0</v>
      </c>
      <c r="Q19" s="254">
        <f t="shared" ref="Q19:Q22" si="62">SUM(($H$4*H19)/24)*K19</f>
        <v>0</v>
      </c>
      <c r="R19" s="220">
        <f t="shared" ref="R19:R22" si="63">($H$4*H19)/18*L19</f>
        <v>94895.246666666673</v>
      </c>
      <c r="S19" s="254">
        <f t="shared" ref="S19:S23" si="64">($H$4*H19)*M19/18</f>
        <v>0</v>
      </c>
      <c r="T19" s="254">
        <f t="shared" ref="T19:T23" si="65">($H$4*H19)/18*N19</f>
        <v>0</v>
      </c>
      <c r="U19" s="220">
        <f t="shared" ref="U19:U22" si="66">SUM(P19:T19)</f>
        <v>94895.246666666673</v>
      </c>
      <c r="V19" s="229">
        <v>25</v>
      </c>
      <c r="W19" s="220">
        <f t="shared" ref="W19:W22" si="67">(U19*V19)/100</f>
        <v>23723.811666666668</v>
      </c>
      <c r="X19" s="220">
        <f t="shared" ref="X19:X22" si="68">SUM(U19,W19)</f>
        <v>118619.05833333335</v>
      </c>
      <c r="Y19" s="229"/>
      <c r="Z19" s="254">
        <f t="shared" ref="Z19:Z22" si="69">($H$4*0.25)*Y19/18</f>
        <v>0</v>
      </c>
      <c r="AA19" s="230"/>
      <c r="AB19" s="254">
        <f t="shared" ref="AB19:AB22" si="70">SUM(($H$4*0.25)/18)*AA19</f>
        <v>0</v>
      </c>
      <c r="AC19" s="231"/>
      <c r="AD19" s="231">
        <f t="shared" ref="AD19:AD22" si="71">SUM(($H$4*0.25)/18*AC19)</f>
        <v>0</v>
      </c>
      <c r="AE19" s="229">
        <v>9</v>
      </c>
      <c r="AF19" s="220">
        <f t="shared" ref="AF19:AF23" si="72">SUM(($H$4*0.2)/18)*AE19</f>
        <v>1769.6999999999998</v>
      </c>
      <c r="AG19" s="229"/>
      <c r="AH19" s="213">
        <f t="shared" ref="AH19:AH23" si="73">SUM(($H$4*0.2)/18)*AG19</f>
        <v>0</v>
      </c>
      <c r="AI19" s="229"/>
      <c r="AJ19" s="213">
        <f t="shared" ref="AJ19:AJ22" si="74">SUM(($H$4*0.2)/18)*AI19</f>
        <v>0</v>
      </c>
      <c r="AK19" s="255">
        <f t="shared" ref="AK19:AK22" si="75">SUM(Y19,AA19,AC19,AE19,AG19,AI19)</f>
        <v>9</v>
      </c>
      <c r="AL19" s="220">
        <f t="shared" ref="AL19:AL23" si="76">SUM(Z19,AB19,AD19,AF19,AH19,AJ19)</f>
        <v>1769.6999999999998</v>
      </c>
      <c r="AM19" s="229">
        <v>0.5</v>
      </c>
      <c r="AN19" s="220">
        <f t="shared" ref="AN19:AN23" si="77">SUM($H$4*0.25)*AM19</f>
        <v>2212.125</v>
      </c>
      <c r="AO19" s="230"/>
      <c r="AP19" s="254">
        <f t="shared" ref="AP19:AP23" si="78">SUM($H$4*0.3)*AO19</f>
        <v>0</v>
      </c>
      <c r="AQ19" s="231"/>
      <c r="AR19" s="231">
        <f t="shared" ref="AR19:AR22" si="79">SUM($H$4*0.2*AQ19)</f>
        <v>0</v>
      </c>
      <c r="AS19" s="131"/>
      <c r="AT19" s="231">
        <f t="shared" ref="AT19:AT23" si="80">SUM($H$4*$H19*AS19/18)</f>
        <v>0</v>
      </c>
      <c r="AU19" s="229"/>
      <c r="AV19" s="231">
        <f t="shared" ref="AV19:AV23" si="81">SUM($H$4*$H19*AU19/18)*0.7</f>
        <v>0</v>
      </c>
      <c r="AW19" s="228"/>
      <c r="AX19" s="231">
        <f t="shared" ref="AX19:AX23" si="82">SUM($H$4*$H19*AW19/18)*0.3</f>
        <v>0</v>
      </c>
      <c r="AY19" s="229"/>
      <c r="AZ19" s="213">
        <f t="shared" ref="AZ19:AZ22" si="83">SUM(($H$4*0.25)/18)*AY19</f>
        <v>0</v>
      </c>
      <c r="BA19" s="231"/>
      <c r="BB19" s="231">
        <f t="shared" ref="BB19:BB22" si="84">SUM($H$4*0.2)*BA19</f>
        <v>0</v>
      </c>
      <c r="BC19" s="231"/>
      <c r="BD19" s="213">
        <f t="shared" ref="BD19:BD22" si="85">((($H$4*BC19)/100)*20)/100</f>
        <v>0</v>
      </c>
      <c r="BE19" s="220">
        <f t="shared" ref="BE19:BE22" si="86">SUM(U19*0.1)</f>
        <v>9489.5246666666681</v>
      </c>
      <c r="BF19" s="220">
        <f t="shared" ref="BF19:BF22" si="87">AL19+AN19+AP19+AT19+AV19+AX19+AZ19+BB19+BD19+BE19+AR19</f>
        <v>13471.349666666669</v>
      </c>
      <c r="BG19" s="220">
        <f t="shared" ref="BG19:BG22" si="88">X19+BF19</f>
        <v>132090.40800000002</v>
      </c>
      <c r="BH19" s="596">
        <f t="shared" si="29"/>
        <v>33022.602000000006</v>
      </c>
      <c r="BI19" s="220">
        <f>BG19*12</f>
        <v>1585084.8960000002</v>
      </c>
      <c r="BJ19" s="71">
        <v>1</v>
      </c>
      <c r="BK19" s="429">
        <f>SUM(($H$4*H19)+(($H$4*H19*V19)/100))*BJ19</f>
        <v>112375.95</v>
      </c>
    </row>
    <row r="20" spans="1:63" ht="31.5">
      <c r="A20" s="4">
        <v>2</v>
      </c>
      <c r="B20" s="135" t="s">
        <v>179</v>
      </c>
      <c r="C20" s="212" t="s">
        <v>178</v>
      </c>
      <c r="D20" s="212" t="s">
        <v>163</v>
      </c>
      <c r="E20" s="219" t="s">
        <v>174</v>
      </c>
      <c r="F20" s="212">
        <v>2</v>
      </c>
      <c r="G20" s="221">
        <v>40</v>
      </c>
      <c r="H20" s="381">
        <v>5.16</v>
      </c>
      <c r="I20" s="281">
        <f t="shared" si="59"/>
        <v>1.1100000000000001</v>
      </c>
      <c r="J20" s="282"/>
      <c r="K20" s="282"/>
      <c r="L20" s="283"/>
      <c r="M20" s="283">
        <v>20</v>
      </c>
      <c r="N20" s="283"/>
      <c r="O20" s="282">
        <f t="shared" si="60"/>
        <v>20</v>
      </c>
      <c r="P20" s="231">
        <f t="shared" si="61"/>
        <v>0</v>
      </c>
      <c r="Q20" s="254">
        <f t="shared" si="62"/>
        <v>0</v>
      </c>
      <c r="R20" s="254">
        <f t="shared" si="63"/>
        <v>0</v>
      </c>
      <c r="S20" s="220">
        <f t="shared" si="64"/>
        <v>101462.8</v>
      </c>
      <c r="T20" s="254">
        <f t="shared" si="65"/>
        <v>0</v>
      </c>
      <c r="U20" s="220">
        <f t="shared" si="66"/>
        <v>101462.8</v>
      </c>
      <c r="V20" s="229">
        <v>25</v>
      </c>
      <c r="W20" s="220">
        <f t="shared" si="67"/>
        <v>25365.7</v>
      </c>
      <c r="X20" s="220">
        <f t="shared" si="68"/>
        <v>126828.5</v>
      </c>
      <c r="Y20" s="229"/>
      <c r="Z20" s="254">
        <f t="shared" si="69"/>
        <v>0</v>
      </c>
      <c r="AA20" s="230"/>
      <c r="AB20" s="231">
        <f t="shared" si="70"/>
        <v>0</v>
      </c>
      <c r="AC20" s="231"/>
      <c r="AD20" s="231">
        <f t="shared" si="71"/>
        <v>0</v>
      </c>
      <c r="AE20" s="229"/>
      <c r="AF20" s="231">
        <f t="shared" si="72"/>
        <v>0</v>
      </c>
      <c r="AG20" s="229"/>
      <c r="AH20" s="213">
        <f t="shared" si="73"/>
        <v>0</v>
      </c>
      <c r="AI20" s="229"/>
      <c r="AJ20" s="213">
        <f t="shared" si="74"/>
        <v>0</v>
      </c>
      <c r="AK20" s="255">
        <f t="shared" si="75"/>
        <v>0</v>
      </c>
      <c r="AL20" s="231">
        <f t="shared" si="76"/>
        <v>0</v>
      </c>
      <c r="AM20" s="229"/>
      <c r="AN20" s="231">
        <f t="shared" si="77"/>
        <v>0</v>
      </c>
      <c r="AO20" s="230"/>
      <c r="AP20" s="254">
        <f t="shared" si="78"/>
        <v>0</v>
      </c>
      <c r="AQ20" s="231"/>
      <c r="AR20" s="231">
        <f t="shared" si="79"/>
        <v>0</v>
      </c>
      <c r="AS20" s="229"/>
      <c r="AT20" s="231">
        <f t="shared" si="80"/>
        <v>0</v>
      </c>
      <c r="AU20" s="229"/>
      <c r="AV20" s="231">
        <f t="shared" si="81"/>
        <v>0</v>
      </c>
      <c r="AW20" s="228"/>
      <c r="AX20" s="231">
        <f t="shared" si="82"/>
        <v>0</v>
      </c>
      <c r="AY20" s="229"/>
      <c r="AZ20" s="213">
        <f t="shared" si="83"/>
        <v>0</v>
      </c>
      <c r="BA20" s="231"/>
      <c r="BB20" s="231">
        <f t="shared" si="84"/>
        <v>0</v>
      </c>
      <c r="BC20" s="231"/>
      <c r="BD20" s="213">
        <f t="shared" si="85"/>
        <v>0</v>
      </c>
      <c r="BE20" s="220">
        <f t="shared" si="86"/>
        <v>10146.280000000001</v>
      </c>
      <c r="BF20" s="220">
        <f t="shared" si="87"/>
        <v>10146.280000000001</v>
      </c>
      <c r="BG20" s="220">
        <f t="shared" si="88"/>
        <v>136974.78</v>
      </c>
      <c r="BH20" s="596">
        <f t="shared" si="29"/>
        <v>34243.695</v>
      </c>
      <c r="BI20" s="220">
        <f t="shared" ref="BI20:BI22" si="89">BG20*12</f>
        <v>1643697.3599999999</v>
      </c>
      <c r="BJ20" s="71">
        <v>1</v>
      </c>
      <c r="BK20" s="429">
        <f>SUM(($H$4*H20)+(($H$4*H20*V20)/100))*BJ20</f>
        <v>114145.65000000001</v>
      </c>
    </row>
    <row r="21" spans="1:63" ht="31.5">
      <c r="A21" s="4">
        <v>3</v>
      </c>
      <c r="B21" s="135" t="s">
        <v>164</v>
      </c>
      <c r="C21" s="212" t="s">
        <v>293</v>
      </c>
      <c r="D21" s="212" t="s">
        <v>163</v>
      </c>
      <c r="E21" s="219" t="s">
        <v>174</v>
      </c>
      <c r="F21" s="212">
        <v>2</v>
      </c>
      <c r="G21" s="221">
        <v>11</v>
      </c>
      <c r="H21" s="380">
        <v>4.8099999999999996</v>
      </c>
      <c r="I21" s="281">
        <f t="shared" si="59"/>
        <v>1.02</v>
      </c>
      <c r="J21" s="282"/>
      <c r="K21" s="619">
        <v>0.5</v>
      </c>
      <c r="L21" s="283">
        <v>4</v>
      </c>
      <c r="M21" s="283">
        <v>14</v>
      </c>
      <c r="N21" s="283"/>
      <c r="O21" s="282">
        <f t="shared" si="60"/>
        <v>18.5</v>
      </c>
      <c r="P21" s="231">
        <f t="shared" si="61"/>
        <v>0</v>
      </c>
      <c r="Q21" s="220">
        <f t="shared" si="62"/>
        <v>1773.3868749999999</v>
      </c>
      <c r="R21" s="220">
        <f t="shared" si="63"/>
        <v>18916.126666666663</v>
      </c>
      <c r="S21" s="220">
        <f t="shared" si="64"/>
        <v>66206.443333333329</v>
      </c>
      <c r="T21" s="254">
        <f t="shared" si="65"/>
        <v>0</v>
      </c>
      <c r="U21" s="220">
        <f t="shared" si="66"/>
        <v>86895.956874999989</v>
      </c>
      <c r="V21" s="229">
        <v>25</v>
      </c>
      <c r="W21" s="220">
        <f t="shared" si="67"/>
        <v>21723.989218749994</v>
      </c>
      <c r="X21" s="220">
        <f t="shared" si="68"/>
        <v>108619.94609374998</v>
      </c>
      <c r="Y21" s="229"/>
      <c r="Z21" s="254">
        <f t="shared" si="69"/>
        <v>0</v>
      </c>
      <c r="AA21" s="230"/>
      <c r="AB21" s="231">
        <f t="shared" si="70"/>
        <v>0</v>
      </c>
      <c r="AC21" s="231"/>
      <c r="AD21" s="231">
        <f t="shared" si="71"/>
        <v>0</v>
      </c>
      <c r="AE21" s="229"/>
      <c r="AF21" s="231">
        <f t="shared" si="72"/>
        <v>0</v>
      </c>
      <c r="AG21" s="229"/>
      <c r="AH21" s="213">
        <f t="shared" si="73"/>
        <v>0</v>
      </c>
      <c r="AI21" s="229"/>
      <c r="AJ21" s="213">
        <f t="shared" si="74"/>
        <v>0</v>
      </c>
      <c r="AK21" s="255">
        <f t="shared" si="75"/>
        <v>0</v>
      </c>
      <c r="AL21" s="231">
        <f t="shared" si="76"/>
        <v>0</v>
      </c>
      <c r="AM21" s="229"/>
      <c r="AN21" s="231">
        <f t="shared" si="77"/>
        <v>0</v>
      </c>
      <c r="AO21" s="230">
        <v>0.25</v>
      </c>
      <c r="AP21" s="220">
        <f t="shared" si="78"/>
        <v>1327.2749999999999</v>
      </c>
      <c r="AQ21" s="231"/>
      <c r="AR21" s="231">
        <f t="shared" si="79"/>
        <v>0</v>
      </c>
      <c r="AS21" s="229"/>
      <c r="AT21" s="231">
        <f t="shared" si="80"/>
        <v>0</v>
      </c>
      <c r="AU21" s="229"/>
      <c r="AV21" s="231">
        <f t="shared" si="81"/>
        <v>0</v>
      </c>
      <c r="AW21" s="228"/>
      <c r="AX21" s="231">
        <f t="shared" si="82"/>
        <v>0</v>
      </c>
      <c r="AY21" s="229"/>
      <c r="AZ21" s="213">
        <f t="shared" si="83"/>
        <v>0</v>
      </c>
      <c r="BA21" s="231"/>
      <c r="BB21" s="231">
        <f t="shared" si="84"/>
        <v>0</v>
      </c>
      <c r="BC21" s="231"/>
      <c r="BD21" s="213">
        <f t="shared" si="85"/>
        <v>0</v>
      </c>
      <c r="BE21" s="220">
        <f t="shared" si="86"/>
        <v>8689.5956874999993</v>
      </c>
      <c r="BF21" s="220">
        <f t="shared" si="87"/>
        <v>10016.870687499999</v>
      </c>
      <c r="BG21" s="220">
        <f t="shared" si="88"/>
        <v>118636.81678124997</v>
      </c>
      <c r="BH21" s="596">
        <f t="shared" si="29"/>
        <v>29659.204195312494</v>
      </c>
      <c r="BI21" s="220">
        <f t="shared" si="89"/>
        <v>1423641.8013749998</v>
      </c>
      <c r="BJ21" s="71">
        <v>1</v>
      </c>
      <c r="BK21" s="429">
        <f>SUM(($H$4*H21)+(($H$4*H21*V21)/100))*BJ21</f>
        <v>106403.21249999999</v>
      </c>
    </row>
    <row r="22" spans="1:63" ht="35.25" customHeight="1">
      <c r="A22" s="4">
        <v>4</v>
      </c>
      <c r="B22" s="455" t="s">
        <v>176</v>
      </c>
      <c r="C22" s="212" t="s">
        <v>169</v>
      </c>
      <c r="D22" s="212" t="s">
        <v>163</v>
      </c>
      <c r="E22" s="130" t="s">
        <v>174</v>
      </c>
      <c r="F22" s="212">
        <v>2</v>
      </c>
      <c r="G22" s="212">
        <v>14.08</v>
      </c>
      <c r="H22" s="380">
        <v>4.9000000000000004</v>
      </c>
      <c r="I22" s="281">
        <f t="shared" si="59"/>
        <v>1.5</v>
      </c>
      <c r="J22" s="282"/>
      <c r="K22" s="281"/>
      <c r="L22" s="283"/>
      <c r="M22" s="283">
        <v>27</v>
      </c>
      <c r="N22" s="283"/>
      <c r="O22" s="282">
        <f t="shared" si="60"/>
        <v>27</v>
      </c>
      <c r="P22" s="231">
        <f t="shared" si="61"/>
        <v>0</v>
      </c>
      <c r="Q22" s="220">
        <f t="shared" si="62"/>
        <v>0</v>
      </c>
      <c r="R22" s="220">
        <f t="shared" si="63"/>
        <v>0</v>
      </c>
      <c r="S22" s="220">
        <f t="shared" si="64"/>
        <v>130072.95000000001</v>
      </c>
      <c r="T22" s="254">
        <f t="shared" si="65"/>
        <v>0</v>
      </c>
      <c r="U22" s="220">
        <f t="shared" si="66"/>
        <v>130072.95000000001</v>
      </c>
      <c r="V22" s="229">
        <v>25</v>
      </c>
      <c r="W22" s="220">
        <f t="shared" si="67"/>
        <v>32518.237500000003</v>
      </c>
      <c r="X22" s="220">
        <f t="shared" si="68"/>
        <v>162591.1875</v>
      </c>
      <c r="Y22" s="229"/>
      <c r="Z22" s="254">
        <f t="shared" si="69"/>
        <v>0</v>
      </c>
      <c r="AA22" s="230"/>
      <c r="AB22" s="231">
        <f t="shared" si="70"/>
        <v>0</v>
      </c>
      <c r="AC22" s="231"/>
      <c r="AD22" s="231">
        <f t="shared" si="71"/>
        <v>0</v>
      </c>
      <c r="AE22" s="229"/>
      <c r="AF22" s="220">
        <f t="shared" si="72"/>
        <v>0</v>
      </c>
      <c r="AG22" s="229">
        <v>15</v>
      </c>
      <c r="AH22" s="220">
        <f t="shared" si="73"/>
        <v>2949.5</v>
      </c>
      <c r="AI22" s="229"/>
      <c r="AJ22" s="213">
        <f t="shared" si="74"/>
        <v>0</v>
      </c>
      <c r="AK22" s="255">
        <f t="shared" si="75"/>
        <v>15</v>
      </c>
      <c r="AL22" s="220">
        <f t="shared" si="76"/>
        <v>2949.5</v>
      </c>
      <c r="AM22" s="229"/>
      <c r="AN22" s="231">
        <f t="shared" si="77"/>
        <v>0</v>
      </c>
      <c r="AO22" s="230">
        <v>0.25</v>
      </c>
      <c r="AP22" s="220">
        <f t="shared" si="78"/>
        <v>1327.2749999999999</v>
      </c>
      <c r="AQ22" s="231"/>
      <c r="AR22" s="231">
        <f t="shared" si="79"/>
        <v>0</v>
      </c>
      <c r="AS22" s="229"/>
      <c r="AT22" s="231">
        <f t="shared" si="80"/>
        <v>0</v>
      </c>
      <c r="AU22" s="229"/>
      <c r="AV22" s="231">
        <f t="shared" si="81"/>
        <v>0</v>
      </c>
      <c r="AW22" s="228"/>
      <c r="AX22" s="220">
        <f t="shared" si="82"/>
        <v>0</v>
      </c>
      <c r="AY22" s="229"/>
      <c r="AZ22" s="213">
        <f t="shared" si="83"/>
        <v>0</v>
      </c>
      <c r="BA22" s="231"/>
      <c r="BB22" s="231">
        <f t="shared" si="84"/>
        <v>0</v>
      </c>
      <c r="BC22" s="231"/>
      <c r="BD22" s="213">
        <f t="shared" si="85"/>
        <v>0</v>
      </c>
      <c r="BE22" s="220">
        <f t="shared" si="86"/>
        <v>13007.295000000002</v>
      </c>
      <c r="BF22" s="220">
        <f t="shared" si="87"/>
        <v>17284.07</v>
      </c>
      <c r="BG22" s="220">
        <f t="shared" si="88"/>
        <v>179875.25750000001</v>
      </c>
      <c r="BH22" s="596">
        <f t="shared" si="29"/>
        <v>44968.814375000002</v>
      </c>
      <c r="BI22" s="220">
        <f t="shared" si="89"/>
        <v>2158503.09</v>
      </c>
      <c r="BJ22" s="71">
        <v>1</v>
      </c>
      <c r="BK22" s="429">
        <f>SUM(($H$4*H22)+(($H$4*H22*V22)/100))*BJ22</f>
        <v>108394.125</v>
      </c>
    </row>
    <row r="23" spans="1:63" ht="35.25" customHeight="1">
      <c r="A23" s="4">
        <v>5</v>
      </c>
      <c r="B23" s="455" t="s">
        <v>417</v>
      </c>
      <c r="C23" s="212" t="s">
        <v>175</v>
      </c>
      <c r="D23" s="212" t="s">
        <v>163</v>
      </c>
      <c r="E23" s="130" t="s">
        <v>174</v>
      </c>
      <c r="F23" s="212">
        <v>2</v>
      </c>
      <c r="G23" s="212">
        <v>11</v>
      </c>
      <c r="H23" s="380">
        <v>4.8099999999999996</v>
      </c>
      <c r="I23" s="281">
        <f t="shared" si="59"/>
        <v>1.44</v>
      </c>
      <c r="J23" s="282"/>
      <c r="K23" s="281"/>
      <c r="L23" s="283"/>
      <c r="M23" s="283">
        <v>26</v>
      </c>
      <c r="N23" s="283"/>
      <c r="O23" s="282">
        <f t="shared" si="60"/>
        <v>26</v>
      </c>
      <c r="P23" s="231">
        <f t="shared" si="61"/>
        <v>0</v>
      </c>
      <c r="Q23" s="220">
        <f t="shared" ref="Q23" si="90">SUM(($H$4*H23)/24)*K23</f>
        <v>0</v>
      </c>
      <c r="R23" s="220">
        <f t="shared" ref="R23" si="91">($H$4*H23)/18*L23</f>
        <v>0</v>
      </c>
      <c r="S23" s="220">
        <f t="shared" si="64"/>
        <v>122954.82333333332</v>
      </c>
      <c r="T23" s="254">
        <f t="shared" si="65"/>
        <v>0</v>
      </c>
      <c r="U23" s="220">
        <f t="shared" ref="U23" si="92">SUM(P23:T23)</f>
        <v>122954.82333333332</v>
      </c>
      <c r="V23" s="229">
        <v>26</v>
      </c>
      <c r="W23" s="220">
        <f t="shared" ref="W23" si="93">(U23*V23)/100</f>
        <v>31968.254066666661</v>
      </c>
      <c r="X23" s="220">
        <f t="shared" ref="X23" si="94">SUM(U23,W23)</f>
        <v>154923.07739999998</v>
      </c>
      <c r="Y23" s="229"/>
      <c r="Z23" s="254">
        <f t="shared" ref="Z23" si="95">($H$4*0.25)*Y23/18</f>
        <v>0</v>
      </c>
      <c r="AA23" s="230">
        <v>17.5</v>
      </c>
      <c r="AB23" s="231">
        <f t="shared" ref="AB23" si="96">SUM(($H$4*0.25)/18)*AA23</f>
        <v>4301.3541666666661</v>
      </c>
      <c r="AC23" s="231"/>
      <c r="AD23" s="231">
        <f t="shared" ref="AD23" si="97">SUM(($H$4*0.25)/18*AC23)</f>
        <v>0</v>
      </c>
      <c r="AE23" s="229"/>
      <c r="AF23" s="220">
        <f t="shared" si="72"/>
        <v>0</v>
      </c>
      <c r="AG23" s="229"/>
      <c r="AH23" s="220">
        <f t="shared" si="73"/>
        <v>0</v>
      </c>
      <c r="AI23" s="229"/>
      <c r="AJ23" s="213">
        <f t="shared" ref="AJ23" si="98">SUM(($H$4*0.2)/18)*AI23</f>
        <v>0</v>
      </c>
      <c r="AK23" s="255">
        <f t="shared" ref="AK23" si="99">SUM(Y23,AA23,AC23,AE23,AG23,AI23)</f>
        <v>17.5</v>
      </c>
      <c r="AL23" s="220">
        <f t="shared" si="76"/>
        <v>4301.3541666666661</v>
      </c>
      <c r="AM23" s="229"/>
      <c r="AN23" s="231">
        <f t="shared" si="77"/>
        <v>0</v>
      </c>
      <c r="AO23" s="230">
        <v>1</v>
      </c>
      <c r="AP23" s="220">
        <f t="shared" si="78"/>
        <v>5309.0999999999995</v>
      </c>
      <c r="AQ23" s="231"/>
      <c r="AR23" s="231"/>
      <c r="AS23" s="229"/>
      <c r="AT23" s="231">
        <f t="shared" si="80"/>
        <v>0</v>
      </c>
      <c r="AU23" s="229"/>
      <c r="AV23" s="231">
        <f t="shared" si="81"/>
        <v>0</v>
      </c>
      <c r="AW23" s="228"/>
      <c r="AX23" s="220">
        <f t="shared" si="82"/>
        <v>0</v>
      </c>
      <c r="AY23" s="229"/>
      <c r="AZ23" s="213">
        <f t="shared" ref="AZ23" si="100">SUM(($H$4*0.25)/18)*AY23</f>
        <v>0</v>
      </c>
      <c r="BA23" s="231"/>
      <c r="BB23" s="231">
        <f t="shared" ref="BB23" si="101">SUM($H$4*0.2)*BA23</f>
        <v>0</v>
      </c>
      <c r="BC23" s="231"/>
      <c r="BD23" s="213">
        <f t="shared" ref="BD23" si="102">((($H$4*BC23)/100)*20)/100</f>
        <v>0</v>
      </c>
      <c r="BE23" s="220">
        <f t="shared" ref="BE23" si="103">SUM(U23*0.1)</f>
        <v>12295.482333333333</v>
      </c>
      <c r="BF23" s="220">
        <f t="shared" ref="BF23" si="104">AL23+AN23+AP23+AT23+AV23+AX23+AZ23+BB23+BD23+BE23+AR23</f>
        <v>21905.9365</v>
      </c>
      <c r="BG23" s="220">
        <f t="shared" ref="BG23" si="105">X23+BF23</f>
        <v>176829.01389999999</v>
      </c>
      <c r="BH23" s="596">
        <f t="shared" ref="BH23" si="106">BG23*25%</f>
        <v>44207.253474999998</v>
      </c>
      <c r="BI23" s="220">
        <f t="shared" ref="BI23" si="107">BG23*12</f>
        <v>2121948.1667999998</v>
      </c>
      <c r="BJ23" s="71">
        <v>2</v>
      </c>
      <c r="BK23" s="429">
        <f>SUM(($H$4*H23)+(($H$4*H23*V23)/100))*BJ23</f>
        <v>214508.87639999998</v>
      </c>
    </row>
    <row r="24" spans="1:63">
      <c r="A24" s="85"/>
      <c r="B24" s="126" t="s">
        <v>100</v>
      </c>
      <c r="C24" s="213"/>
      <c r="D24" s="213"/>
      <c r="E24" s="219"/>
      <c r="F24" s="130"/>
      <c r="G24" s="220"/>
      <c r="H24" s="279"/>
      <c r="I24" s="600">
        <f t="shared" ref="I24:BK24" si="108">SUM(I19:I23)</f>
        <v>6.129999999999999</v>
      </c>
      <c r="J24" s="600">
        <f t="shared" si="108"/>
        <v>0</v>
      </c>
      <c r="K24" s="600">
        <f t="shared" si="108"/>
        <v>0.5</v>
      </c>
      <c r="L24" s="600">
        <f t="shared" si="108"/>
        <v>23</v>
      </c>
      <c r="M24" s="600">
        <f t="shared" si="108"/>
        <v>87</v>
      </c>
      <c r="N24" s="600">
        <f t="shared" si="108"/>
        <v>0</v>
      </c>
      <c r="O24" s="600">
        <f t="shared" si="108"/>
        <v>110.5</v>
      </c>
      <c r="P24" s="600">
        <f t="shared" si="108"/>
        <v>0</v>
      </c>
      <c r="Q24" s="600">
        <f t="shared" si="108"/>
        <v>1773.3868749999999</v>
      </c>
      <c r="R24" s="600">
        <f t="shared" si="108"/>
        <v>113811.37333333334</v>
      </c>
      <c r="S24" s="600">
        <f t="shared" si="108"/>
        <v>420697.01666666666</v>
      </c>
      <c r="T24" s="600">
        <f t="shared" si="108"/>
        <v>0</v>
      </c>
      <c r="U24" s="600">
        <f t="shared" si="108"/>
        <v>536281.77687499998</v>
      </c>
      <c r="V24" s="600">
        <f t="shared" si="108"/>
        <v>126</v>
      </c>
      <c r="W24" s="600">
        <f t="shared" si="108"/>
        <v>135299.99245208333</v>
      </c>
      <c r="X24" s="600">
        <f t="shared" si="108"/>
        <v>671581.76932708325</v>
      </c>
      <c r="Y24" s="600">
        <f t="shared" si="108"/>
        <v>0</v>
      </c>
      <c r="Z24" s="600">
        <f t="shared" si="108"/>
        <v>0</v>
      </c>
      <c r="AA24" s="600">
        <f t="shared" si="108"/>
        <v>17.5</v>
      </c>
      <c r="AB24" s="600">
        <f t="shared" si="108"/>
        <v>4301.3541666666661</v>
      </c>
      <c r="AC24" s="600">
        <f t="shared" si="108"/>
        <v>0</v>
      </c>
      <c r="AD24" s="600">
        <f t="shared" si="108"/>
        <v>0</v>
      </c>
      <c r="AE24" s="600">
        <f t="shared" si="108"/>
        <v>9</v>
      </c>
      <c r="AF24" s="600">
        <f t="shared" si="108"/>
        <v>1769.6999999999998</v>
      </c>
      <c r="AG24" s="600">
        <f t="shared" si="108"/>
        <v>15</v>
      </c>
      <c r="AH24" s="600">
        <f t="shared" si="108"/>
        <v>2949.5</v>
      </c>
      <c r="AI24" s="600">
        <f t="shared" si="108"/>
        <v>0</v>
      </c>
      <c r="AJ24" s="600">
        <f t="shared" si="108"/>
        <v>0</v>
      </c>
      <c r="AK24" s="600">
        <f t="shared" si="108"/>
        <v>41.5</v>
      </c>
      <c r="AL24" s="600">
        <f t="shared" si="108"/>
        <v>9020.554166666665</v>
      </c>
      <c r="AM24" s="600">
        <f t="shared" si="108"/>
        <v>0.5</v>
      </c>
      <c r="AN24" s="600">
        <f t="shared" si="108"/>
        <v>2212.125</v>
      </c>
      <c r="AO24" s="600">
        <f t="shared" si="108"/>
        <v>1.5</v>
      </c>
      <c r="AP24" s="600">
        <f t="shared" si="108"/>
        <v>7963.65</v>
      </c>
      <c r="AQ24" s="600">
        <f t="shared" si="108"/>
        <v>0</v>
      </c>
      <c r="AR24" s="600">
        <f t="shared" si="108"/>
        <v>0</v>
      </c>
      <c r="AS24" s="600">
        <f t="shared" si="108"/>
        <v>0</v>
      </c>
      <c r="AT24" s="600">
        <f t="shared" si="108"/>
        <v>0</v>
      </c>
      <c r="AU24" s="600">
        <f t="shared" si="108"/>
        <v>0</v>
      </c>
      <c r="AV24" s="600">
        <f t="shared" si="108"/>
        <v>0</v>
      </c>
      <c r="AW24" s="600">
        <f t="shared" si="108"/>
        <v>0</v>
      </c>
      <c r="AX24" s="600">
        <f t="shared" si="108"/>
        <v>0</v>
      </c>
      <c r="AY24" s="600">
        <f t="shared" si="108"/>
        <v>0</v>
      </c>
      <c r="AZ24" s="600">
        <f t="shared" si="108"/>
        <v>0</v>
      </c>
      <c r="BA24" s="600">
        <f t="shared" si="108"/>
        <v>0</v>
      </c>
      <c r="BB24" s="600">
        <f t="shared" si="108"/>
        <v>0</v>
      </c>
      <c r="BC24" s="600">
        <f t="shared" si="108"/>
        <v>0</v>
      </c>
      <c r="BD24" s="600">
        <f t="shared" si="108"/>
        <v>0</v>
      </c>
      <c r="BE24" s="600">
        <f t="shared" si="108"/>
        <v>53628.177687500007</v>
      </c>
      <c r="BF24" s="600">
        <f t="shared" si="108"/>
        <v>72824.50685416667</v>
      </c>
      <c r="BG24" s="600">
        <f t="shared" si="108"/>
        <v>744406.27618125</v>
      </c>
      <c r="BH24" s="600">
        <f t="shared" si="108"/>
        <v>186101.5690453125</v>
      </c>
      <c r="BI24" s="600">
        <f t="shared" si="108"/>
        <v>8932875.3141749986</v>
      </c>
      <c r="BJ24" s="600">
        <f t="shared" si="108"/>
        <v>6</v>
      </c>
      <c r="BK24" s="600">
        <f t="shared" si="108"/>
        <v>655827.81389999995</v>
      </c>
    </row>
    <row r="25" spans="1:63" ht="31.5">
      <c r="A25" s="4">
        <v>1</v>
      </c>
      <c r="B25" s="135" t="s">
        <v>306</v>
      </c>
      <c r="C25" s="212" t="s">
        <v>451</v>
      </c>
      <c r="D25" s="212" t="s">
        <v>163</v>
      </c>
      <c r="E25" s="219" t="s">
        <v>161</v>
      </c>
      <c r="F25" s="212" t="s">
        <v>150</v>
      </c>
      <c r="G25" s="221">
        <v>40</v>
      </c>
      <c r="H25" s="381">
        <v>4.7300000000000004</v>
      </c>
      <c r="I25" s="281">
        <f t="shared" ref="I25:I36" si="109">ROUND((((J25+K25))/24)+(L25+M25+N25)/18,2)</f>
        <v>0.44</v>
      </c>
      <c r="J25" s="282"/>
      <c r="K25" s="282"/>
      <c r="L25" s="283"/>
      <c r="M25" s="283">
        <v>8</v>
      </c>
      <c r="N25" s="283"/>
      <c r="O25" s="282">
        <f t="shared" ref="O25:O37" si="110">SUM(J25:N25)</f>
        <v>8</v>
      </c>
      <c r="P25" s="231">
        <f t="shared" ref="P25:P37" si="111">SUM(($H$4*H25)/24)*J25</f>
        <v>0</v>
      </c>
      <c r="Q25" s="254">
        <f t="shared" ref="Q25:Q37" si="112">SUM(($H$4*H25)/24)*K25</f>
        <v>0</v>
      </c>
      <c r="R25" s="254">
        <f t="shared" ref="R25:R37" si="113">($H$4*H25)/18*L25</f>
        <v>0</v>
      </c>
      <c r="S25" s="220">
        <f t="shared" ref="S25:S37" si="114">($H$4*H25)*M25/18</f>
        <v>37203.026666666672</v>
      </c>
      <c r="T25" s="254">
        <f t="shared" ref="T25:T37" si="115">($H$4*H25)/18*N25</f>
        <v>0</v>
      </c>
      <c r="U25" s="220">
        <f t="shared" ref="U25:U35" si="116">SUM(P25:T25)</f>
        <v>37203.026666666672</v>
      </c>
      <c r="V25" s="229">
        <v>25</v>
      </c>
      <c r="W25" s="220">
        <f t="shared" ref="W25:W35" si="117">(U25*V25)/100</f>
        <v>9300.756666666668</v>
      </c>
      <c r="X25" s="220">
        <f t="shared" ref="X25:X35" si="118">SUM(U25,W25)</f>
        <v>46503.78333333334</v>
      </c>
      <c r="Y25" s="229"/>
      <c r="Z25" s="254">
        <f t="shared" ref="Z25:Z34" si="119">($H$4*0.25)*Y25/18</f>
        <v>0</v>
      </c>
      <c r="AA25" s="230"/>
      <c r="AB25" s="231">
        <f t="shared" ref="AB25:AB30" si="120">SUM(($H$4*0.25)/18)*AA25</f>
        <v>0</v>
      </c>
      <c r="AC25" s="231"/>
      <c r="AD25" s="231">
        <f t="shared" ref="AD25:AD30" si="121">SUM(($H$4*0.25)/18*AC25)</f>
        <v>0</v>
      </c>
      <c r="AE25" s="229"/>
      <c r="AF25" s="231">
        <f t="shared" ref="AF25:AF30" si="122">SUM(($H$4*0.2)/18)*AE25</f>
        <v>0</v>
      </c>
      <c r="AG25" s="229"/>
      <c r="AH25" s="213">
        <f t="shared" ref="AH25:AH30" si="123">SUM(($H$4*0.2)/18)*AG25</f>
        <v>0</v>
      </c>
      <c r="AI25" s="229"/>
      <c r="AJ25" s="213">
        <f t="shared" ref="AJ25:AJ35" si="124">SUM(($H$4*0.2)/18)*AI25</f>
        <v>0</v>
      </c>
      <c r="AK25" s="255">
        <f t="shared" ref="AK25:AK35" si="125">SUM(Y25,AA25,AC25,AE25,AG25,AI25)</f>
        <v>0</v>
      </c>
      <c r="AL25" s="231">
        <f t="shared" ref="AL25:AL35" si="126">SUM(Z25,AB25,AD25,AF25,AH25,AJ25)</f>
        <v>0</v>
      </c>
      <c r="AM25" s="229"/>
      <c r="AN25" s="231">
        <f t="shared" ref="AN25:AN35" si="127">SUM($H$4*0.25)*AM25</f>
        <v>0</v>
      </c>
      <c r="AO25" s="230"/>
      <c r="AP25" s="254">
        <f t="shared" ref="AP25:AP35" si="128">SUM($H$4*0.3)*AO25</f>
        <v>0</v>
      </c>
      <c r="AQ25" s="231"/>
      <c r="AR25" s="231">
        <f t="shared" ref="AR25:AR30" si="129">SUM($H$4*0.2*AQ25)</f>
        <v>0</v>
      </c>
      <c r="AS25" s="229"/>
      <c r="AT25" s="231">
        <f t="shared" ref="AT25:AT30" si="130">SUM($H$4*$H25*AS25/18)</f>
        <v>0</v>
      </c>
      <c r="AU25" s="229"/>
      <c r="AV25" s="231">
        <f t="shared" ref="AV25:AV30" si="131">SUM($H$4*$H25*AU25/18)*0.7</f>
        <v>0</v>
      </c>
      <c r="AW25" s="228"/>
      <c r="AX25" s="231">
        <f t="shared" ref="AX25:AX30" si="132">SUM($H$4*$H25*AW25/18)*0.3</f>
        <v>0</v>
      </c>
      <c r="AY25" s="229"/>
      <c r="AZ25" s="213">
        <f t="shared" ref="AZ25:AZ30" si="133">SUM(($H$4*0.25)/18)*AY25</f>
        <v>0</v>
      </c>
      <c r="BA25" s="231"/>
      <c r="BB25" s="231">
        <f t="shared" ref="BB25:BB30" si="134">SUM($H$4*0.2)*BA25</f>
        <v>0</v>
      </c>
      <c r="BC25" s="231"/>
      <c r="BD25" s="213">
        <f t="shared" ref="BD25:BD30" si="135">((($H$4*BC25)/100)*20)/100</f>
        <v>0</v>
      </c>
      <c r="BE25" s="220"/>
      <c r="BF25" s="220">
        <f t="shared" ref="BF25:BF30" si="136">AL25+AN25+AP25+AT25+AV25+AX25+AZ25+BB25+BD25+BE25+AR25</f>
        <v>0</v>
      </c>
      <c r="BG25" s="220">
        <f t="shared" ref="BG25:BG30" si="137">X25+BF25</f>
        <v>46503.78333333334</v>
      </c>
      <c r="BH25" s="596">
        <f t="shared" si="29"/>
        <v>11625.945833333335</v>
      </c>
      <c r="BI25" s="220">
        <f>BG25*12</f>
        <v>558045.40000000014</v>
      </c>
      <c r="BJ25" s="71"/>
      <c r="BK25" s="429">
        <f t="shared" ref="BK25:BK38" si="138">SUM(($H$4*H25)+(($H$4*H25*V25)/100))*BJ25</f>
        <v>0</v>
      </c>
    </row>
    <row r="26" spans="1:63" ht="31.5">
      <c r="A26" s="4">
        <v>2</v>
      </c>
      <c r="B26" s="386" t="s">
        <v>308</v>
      </c>
      <c r="C26" s="212" t="s">
        <v>172</v>
      </c>
      <c r="D26" s="212" t="s">
        <v>163</v>
      </c>
      <c r="E26" s="219" t="s">
        <v>161</v>
      </c>
      <c r="F26" s="212" t="s">
        <v>150</v>
      </c>
      <c r="G26" s="212">
        <v>2</v>
      </c>
      <c r="H26" s="381">
        <v>4.1900000000000004</v>
      </c>
      <c r="I26" s="281">
        <f t="shared" si="109"/>
        <v>1.28</v>
      </c>
      <c r="J26" s="282"/>
      <c r="K26" s="282"/>
      <c r="L26" s="283">
        <v>3</v>
      </c>
      <c r="M26" s="283">
        <v>20</v>
      </c>
      <c r="N26" s="283"/>
      <c r="O26" s="282">
        <f t="shared" si="110"/>
        <v>23</v>
      </c>
      <c r="P26" s="231">
        <f t="shared" si="111"/>
        <v>0</v>
      </c>
      <c r="Q26" s="220">
        <f t="shared" si="112"/>
        <v>0</v>
      </c>
      <c r="R26" s="220">
        <f t="shared" si="113"/>
        <v>12358.405000000002</v>
      </c>
      <c r="S26" s="220">
        <f t="shared" si="114"/>
        <v>82389.366666666669</v>
      </c>
      <c r="T26" s="254">
        <f t="shared" si="115"/>
        <v>0</v>
      </c>
      <c r="U26" s="220">
        <f t="shared" si="116"/>
        <v>94747.771666666667</v>
      </c>
      <c r="V26" s="229">
        <v>25</v>
      </c>
      <c r="W26" s="220">
        <f t="shared" si="117"/>
        <v>23686.942916666667</v>
      </c>
      <c r="X26" s="220">
        <f t="shared" si="118"/>
        <v>118434.71458333333</v>
      </c>
      <c r="Y26" s="229"/>
      <c r="Z26" s="254">
        <f t="shared" si="119"/>
        <v>0</v>
      </c>
      <c r="AA26" s="230"/>
      <c r="AB26" s="231">
        <f t="shared" si="120"/>
        <v>0</v>
      </c>
      <c r="AC26" s="231"/>
      <c r="AD26" s="231">
        <f t="shared" si="121"/>
        <v>0</v>
      </c>
      <c r="AE26" s="229"/>
      <c r="AF26" s="231">
        <f t="shared" si="122"/>
        <v>0</v>
      </c>
      <c r="AG26" s="229"/>
      <c r="AH26" s="213">
        <f t="shared" si="123"/>
        <v>0</v>
      </c>
      <c r="AI26" s="229"/>
      <c r="AJ26" s="213">
        <f t="shared" si="124"/>
        <v>0</v>
      </c>
      <c r="AK26" s="255">
        <f t="shared" si="125"/>
        <v>0</v>
      </c>
      <c r="AL26" s="231">
        <f t="shared" si="126"/>
        <v>0</v>
      </c>
      <c r="AM26" s="229"/>
      <c r="AN26" s="231">
        <f t="shared" si="127"/>
        <v>0</v>
      </c>
      <c r="AO26" s="230">
        <v>0.5</v>
      </c>
      <c r="AP26" s="254">
        <f t="shared" si="128"/>
        <v>2654.5499999999997</v>
      </c>
      <c r="AQ26" s="231"/>
      <c r="AR26" s="231">
        <f t="shared" si="129"/>
        <v>0</v>
      </c>
      <c r="AS26" s="229"/>
      <c r="AT26" s="231">
        <f t="shared" si="130"/>
        <v>0</v>
      </c>
      <c r="AU26" s="229"/>
      <c r="AV26" s="231">
        <f t="shared" si="131"/>
        <v>0</v>
      </c>
      <c r="AW26" s="228"/>
      <c r="AX26" s="231">
        <f t="shared" si="132"/>
        <v>0</v>
      </c>
      <c r="AY26" s="229"/>
      <c r="AZ26" s="213">
        <f t="shared" si="133"/>
        <v>0</v>
      </c>
      <c r="BA26" s="231"/>
      <c r="BB26" s="231">
        <f t="shared" si="134"/>
        <v>0</v>
      </c>
      <c r="BC26" s="231"/>
      <c r="BD26" s="213">
        <f t="shared" si="135"/>
        <v>0</v>
      </c>
      <c r="BE26" s="220">
        <f t="shared" ref="BE26:BE30" si="139">SUM(U26*0.1)</f>
        <v>9474.7771666666667</v>
      </c>
      <c r="BF26" s="220">
        <f t="shared" si="136"/>
        <v>12129.327166666666</v>
      </c>
      <c r="BG26" s="220">
        <f t="shared" si="137"/>
        <v>130564.04175</v>
      </c>
      <c r="BH26" s="596">
        <f t="shared" si="29"/>
        <v>32641.010437500001</v>
      </c>
      <c r="BI26" s="220">
        <f t="shared" ref="BI26:BI36" si="140">BG26*12</f>
        <v>1566768.5010000002</v>
      </c>
      <c r="BJ26" s="71">
        <v>1</v>
      </c>
      <c r="BK26" s="429">
        <f t="shared" si="138"/>
        <v>92688.037500000006</v>
      </c>
    </row>
    <row r="27" spans="1:63" ht="31.5">
      <c r="A27" s="4">
        <v>3</v>
      </c>
      <c r="B27" s="386" t="s">
        <v>418</v>
      </c>
      <c r="C27" s="212" t="s">
        <v>186</v>
      </c>
      <c r="D27" s="212" t="s">
        <v>163</v>
      </c>
      <c r="E27" s="219" t="s">
        <v>161</v>
      </c>
      <c r="F27" s="212" t="s">
        <v>150</v>
      </c>
      <c r="G27" s="212">
        <v>1</v>
      </c>
      <c r="H27" s="381">
        <v>4.1399999999999997</v>
      </c>
      <c r="I27" s="281">
        <f t="shared" si="109"/>
        <v>0.67</v>
      </c>
      <c r="J27" s="282"/>
      <c r="K27" s="282"/>
      <c r="L27" s="283"/>
      <c r="M27" s="283">
        <v>12</v>
      </c>
      <c r="N27" s="283"/>
      <c r="O27" s="282">
        <f t="shared" si="110"/>
        <v>12</v>
      </c>
      <c r="P27" s="231"/>
      <c r="Q27" s="220">
        <f t="shared" si="112"/>
        <v>0</v>
      </c>
      <c r="R27" s="220">
        <f t="shared" si="113"/>
        <v>0</v>
      </c>
      <c r="S27" s="220">
        <f t="shared" si="114"/>
        <v>48843.719999999994</v>
      </c>
      <c r="T27" s="254">
        <f t="shared" si="115"/>
        <v>0</v>
      </c>
      <c r="U27" s="220">
        <f t="shared" si="116"/>
        <v>48843.719999999994</v>
      </c>
      <c r="V27" s="229">
        <v>25</v>
      </c>
      <c r="W27" s="220">
        <f t="shared" si="117"/>
        <v>12210.929999999998</v>
      </c>
      <c r="X27" s="220">
        <f t="shared" si="118"/>
        <v>61054.649999999994</v>
      </c>
      <c r="Y27" s="229"/>
      <c r="Z27" s="254">
        <f t="shared" ref="Z27" si="141">($H$4*0.25)*Y27/18</f>
        <v>0</v>
      </c>
      <c r="AA27" s="230"/>
      <c r="AB27" s="231">
        <f t="shared" ref="AB27" si="142">SUM(($H$4*0.25)/18)*AA27</f>
        <v>0</v>
      </c>
      <c r="AC27" s="231"/>
      <c r="AD27" s="231">
        <f t="shared" ref="AD27" si="143">SUM(($H$4*0.25)/18*AC27)</f>
        <v>0</v>
      </c>
      <c r="AE27" s="229"/>
      <c r="AF27" s="231">
        <f t="shared" ref="AF27" si="144">SUM(($H$4*0.2)/18)*AE27</f>
        <v>0</v>
      </c>
      <c r="AG27" s="229">
        <v>7.5</v>
      </c>
      <c r="AH27" s="213">
        <f t="shared" ref="AH27" si="145">SUM(($H$4*0.2)/18)*AG27</f>
        <v>1474.75</v>
      </c>
      <c r="AI27" s="229"/>
      <c r="AJ27" s="213">
        <f t="shared" ref="AJ27" si="146">SUM(($H$4*0.2)/18)*AI27</f>
        <v>0</v>
      </c>
      <c r="AK27" s="255">
        <f t="shared" ref="AK27" si="147">SUM(Y27,AA27,AC27,AE27,AG27,AI27)</f>
        <v>7.5</v>
      </c>
      <c r="AL27" s="231">
        <f t="shared" ref="AL27" si="148">SUM(Z27,AB27,AD27,AF27,AH27,AJ27)</f>
        <v>1474.75</v>
      </c>
      <c r="AM27" s="229"/>
      <c r="AN27" s="231">
        <f t="shared" ref="AN27" si="149">SUM($H$4*0.25)*AM27</f>
        <v>0</v>
      </c>
      <c r="AO27" s="230"/>
      <c r="AP27" s="254">
        <f t="shared" ref="AP27" si="150">SUM($H$4*0.3)*AO27</f>
        <v>0</v>
      </c>
      <c r="AQ27" s="231"/>
      <c r="AR27" s="231">
        <f t="shared" ref="AR27" si="151">SUM($H$4*0.2*AQ27)</f>
        <v>0</v>
      </c>
      <c r="AS27" s="229"/>
      <c r="AT27" s="231">
        <f t="shared" ref="AT27" si="152">SUM($H$4*$H27*AS27/18)</f>
        <v>0</v>
      </c>
      <c r="AU27" s="229"/>
      <c r="AV27" s="231">
        <f t="shared" ref="AV27" si="153">SUM($H$4*$H27*AU27/18)*0.7</f>
        <v>0</v>
      </c>
      <c r="AW27" s="228"/>
      <c r="AX27" s="231">
        <f t="shared" ref="AX27" si="154">SUM($H$4*$H27*AW27/18)*0.3</f>
        <v>0</v>
      </c>
      <c r="AY27" s="229"/>
      <c r="AZ27" s="213">
        <f t="shared" ref="AZ27" si="155">SUM(($H$4*0.25)/18)*AY27</f>
        <v>0</v>
      </c>
      <c r="BA27" s="231"/>
      <c r="BB27" s="231">
        <f t="shared" ref="BB27" si="156">SUM($H$4*0.2)*BA27</f>
        <v>0</v>
      </c>
      <c r="BC27" s="231"/>
      <c r="BD27" s="213">
        <f t="shared" ref="BD27" si="157">((($H$4*BC27)/100)*20)/100</f>
        <v>0</v>
      </c>
      <c r="BE27" s="220">
        <f t="shared" ref="BE27" si="158">SUM(U27*0.1)</f>
        <v>4884.3719999999994</v>
      </c>
      <c r="BF27" s="220">
        <f t="shared" ref="BF27" si="159">AL27+AN27+AP27+AT27+AV27+AX27+AZ27+BB27+BD27+BE27+AR27</f>
        <v>6359.1219999999994</v>
      </c>
      <c r="BG27" s="220">
        <f t="shared" ref="BG27" si="160">X27+BF27</f>
        <v>67413.771999999997</v>
      </c>
      <c r="BH27" s="596">
        <f t="shared" si="29"/>
        <v>16853.442999999999</v>
      </c>
      <c r="BI27" s="220">
        <f t="shared" si="140"/>
        <v>808965.26399999997</v>
      </c>
      <c r="BJ27" s="71">
        <v>0.67</v>
      </c>
      <c r="BK27" s="429">
        <f t="shared" si="138"/>
        <v>61359.923249999985</v>
      </c>
    </row>
    <row r="28" spans="1:63" ht="31.5">
      <c r="A28" s="4">
        <v>4</v>
      </c>
      <c r="B28" s="257" t="s">
        <v>309</v>
      </c>
      <c r="C28" s="212" t="s">
        <v>450</v>
      </c>
      <c r="D28" s="212" t="s">
        <v>163</v>
      </c>
      <c r="E28" s="130" t="s">
        <v>161</v>
      </c>
      <c r="F28" s="212" t="s">
        <v>150</v>
      </c>
      <c r="G28" s="221">
        <v>1</v>
      </c>
      <c r="H28" s="380">
        <v>4.1399999999999997</v>
      </c>
      <c r="I28" s="281">
        <f t="shared" si="109"/>
        <v>0.67</v>
      </c>
      <c r="J28" s="282"/>
      <c r="K28" s="282"/>
      <c r="L28" s="283"/>
      <c r="M28" s="283">
        <v>12</v>
      </c>
      <c r="N28" s="283"/>
      <c r="O28" s="282">
        <f t="shared" si="110"/>
        <v>12</v>
      </c>
      <c r="P28" s="231">
        <f t="shared" si="111"/>
        <v>0</v>
      </c>
      <c r="Q28" s="254">
        <f t="shared" si="112"/>
        <v>0</v>
      </c>
      <c r="R28" s="254">
        <f t="shared" si="113"/>
        <v>0</v>
      </c>
      <c r="S28" s="220">
        <f t="shared" si="114"/>
        <v>48843.719999999994</v>
      </c>
      <c r="T28" s="254">
        <f t="shared" si="115"/>
        <v>0</v>
      </c>
      <c r="U28" s="220">
        <f t="shared" si="116"/>
        <v>48843.719999999994</v>
      </c>
      <c r="V28" s="229">
        <v>25</v>
      </c>
      <c r="W28" s="220">
        <f t="shared" si="117"/>
        <v>12210.929999999998</v>
      </c>
      <c r="X28" s="220">
        <f t="shared" si="118"/>
        <v>61054.649999999994</v>
      </c>
      <c r="Y28" s="229"/>
      <c r="Z28" s="254">
        <f t="shared" si="119"/>
        <v>0</v>
      </c>
      <c r="AA28" s="230"/>
      <c r="AB28" s="220">
        <f t="shared" si="120"/>
        <v>0</v>
      </c>
      <c r="AC28" s="231"/>
      <c r="AD28" s="231">
        <f t="shared" si="121"/>
        <v>0</v>
      </c>
      <c r="AE28" s="229"/>
      <c r="AF28" s="231">
        <f t="shared" si="122"/>
        <v>0</v>
      </c>
      <c r="AG28" s="229"/>
      <c r="AH28" s="213">
        <f t="shared" si="123"/>
        <v>0</v>
      </c>
      <c r="AI28" s="229"/>
      <c r="AJ28" s="213">
        <f t="shared" si="124"/>
        <v>0</v>
      </c>
      <c r="AK28" s="255">
        <f t="shared" si="125"/>
        <v>0</v>
      </c>
      <c r="AL28" s="220">
        <f t="shared" si="126"/>
        <v>0</v>
      </c>
      <c r="AM28" s="229"/>
      <c r="AN28" s="231">
        <f t="shared" si="127"/>
        <v>0</v>
      </c>
      <c r="AO28" s="230"/>
      <c r="AP28" s="220">
        <f t="shared" si="128"/>
        <v>0</v>
      </c>
      <c r="AQ28" s="231"/>
      <c r="AR28" s="231">
        <f t="shared" si="129"/>
        <v>0</v>
      </c>
      <c r="AS28" s="229"/>
      <c r="AT28" s="231">
        <f t="shared" si="130"/>
        <v>0</v>
      </c>
      <c r="AU28" s="229"/>
      <c r="AV28" s="231">
        <f t="shared" si="131"/>
        <v>0</v>
      </c>
      <c r="AW28" s="228"/>
      <c r="AX28" s="231">
        <f t="shared" si="132"/>
        <v>0</v>
      </c>
      <c r="AY28" s="229"/>
      <c r="AZ28" s="213">
        <f t="shared" si="133"/>
        <v>0</v>
      </c>
      <c r="BA28" s="231"/>
      <c r="BB28" s="231">
        <f t="shared" si="134"/>
        <v>0</v>
      </c>
      <c r="BC28" s="231"/>
      <c r="BD28" s="213">
        <f t="shared" si="135"/>
        <v>0</v>
      </c>
      <c r="BE28" s="220">
        <f t="shared" si="139"/>
        <v>4884.3719999999994</v>
      </c>
      <c r="BF28" s="220">
        <f t="shared" si="136"/>
        <v>4884.3719999999994</v>
      </c>
      <c r="BG28" s="220">
        <f t="shared" si="137"/>
        <v>65939.021999999997</v>
      </c>
      <c r="BH28" s="596">
        <f t="shared" si="29"/>
        <v>16484.755499999999</v>
      </c>
      <c r="BI28" s="220">
        <f t="shared" si="140"/>
        <v>791268.26399999997</v>
      </c>
      <c r="BJ28" s="71">
        <v>0.83</v>
      </c>
      <c r="BK28" s="429">
        <f t="shared" si="138"/>
        <v>76013.039249999973</v>
      </c>
    </row>
    <row r="29" spans="1:63" s="287" customFormat="1" ht="31.5">
      <c r="A29" s="4">
        <v>5</v>
      </c>
      <c r="B29" s="277" t="s">
        <v>171</v>
      </c>
      <c r="C29" s="278" t="s">
        <v>310</v>
      </c>
      <c r="D29" s="278" t="s">
        <v>163</v>
      </c>
      <c r="E29" s="279" t="s">
        <v>161</v>
      </c>
      <c r="F29" s="278" t="s">
        <v>150</v>
      </c>
      <c r="G29" s="280">
        <v>19.03</v>
      </c>
      <c r="H29" s="381">
        <v>4.59</v>
      </c>
      <c r="I29" s="281">
        <f t="shared" si="109"/>
        <v>1.5</v>
      </c>
      <c r="J29" s="282"/>
      <c r="K29" s="282"/>
      <c r="L29" s="283">
        <v>12</v>
      </c>
      <c r="M29" s="283">
        <v>15</v>
      </c>
      <c r="N29" s="283"/>
      <c r="O29" s="282">
        <f t="shared" si="110"/>
        <v>27</v>
      </c>
      <c r="P29" s="278">
        <f t="shared" si="111"/>
        <v>0</v>
      </c>
      <c r="Q29" s="282">
        <f t="shared" si="112"/>
        <v>0</v>
      </c>
      <c r="R29" s="280">
        <f t="shared" si="113"/>
        <v>54152.819999999992</v>
      </c>
      <c r="S29" s="280">
        <f t="shared" si="114"/>
        <v>67691.024999999994</v>
      </c>
      <c r="T29" s="282">
        <f t="shared" si="115"/>
        <v>0</v>
      </c>
      <c r="U29" s="280">
        <f t="shared" si="116"/>
        <v>121843.84499999999</v>
      </c>
      <c r="V29" s="283">
        <v>25</v>
      </c>
      <c r="W29" s="280">
        <f t="shared" si="117"/>
        <v>30460.961249999997</v>
      </c>
      <c r="X29" s="280">
        <f t="shared" si="118"/>
        <v>152304.80624999999</v>
      </c>
      <c r="Y29" s="283">
        <v>6</v>
      </c>
      <c r="Z29" s="280">
        <f t="shared" si="119"/>
        <v>1474.75</v>
      </c>
      <c r="AA29" s="284">
        <v>10.5</v>
      </c>
      <c r="AB29" s="280">
        <f t="shared" si="120"/>
        <v>2580.8125</v>
      </c>
      <c r="AC29" s="278"/>
      <c r="AD29" s="278">
        <f t="shared" si="121"/>
        <v>0</v>
      </c>
      <c r="AE29" s="283"/>
      <c r="AF29" s="278">
        <f t="shared" si="122"/>
        <v>0</v>
      </c>
      <c r="AG29" s="283"/>
      <c r="AH29" s="281">
        <f t="shared" si="123"/>
        <v>0</v>
      </c>
      <c r="AI29" s="283"/>
      <c r="AJ29" s="281">
        <f t="shared" si="124"/>
        <v>0</v>
      </c>
      <c r="AK29" s="285">
        <f t="shared" si="125"/>
        <v>16.5</v>
      </c>
      <c r="AL29" s="280">
        <f t="shared" si="126"/>
        <v>4055.5625</v>
      </c>
      <c r="AM29" s="283"/>
      <c r="AN29" s="278">
        <f t="shared" si="127"/>
        <v>0</v>
      </c>
      <c r="AO29" s="284"/>
      <c r="AP29" s="282">
        <f t="shared" si="128"/>
        <v>0</v>
      </c>
      <c r="AQ29" s="278"/>
      <c r="AR29" s="278">
        <f t="shared" si="129"/>
        <v>0</v>
      </c>
      <c r="AS29" s="283"/>
      <c r="AT29" s="278">
        <f t="shared" si="130"/>
        <v>0</v>
      </c>
      <c r="AU29" s="283"/>
      <c r="AV29" s="278">
        <f t="shared" si="131"/>
        <v>0</v>
      </c>
      <c r="AW29" s="286"/>
      <c r="AX29" s="278">
        <f t="shared" si="132"/>
        <v>0</v>
      </c>
      <c r="AY29" s="283"/>
      <c r="AZ29" s="281">
        <f t="shared" si="133"/>
        <v>0</v>
      </c>
      <c r="BA29" s="278"/>
      <c r="BB29" s="278">
        <f t="shared" si="134"/>
        <v>0</v>
      </c>
      <c r="BC29" s="278"/>
      <c r="BD29" s="281">
        <f t="shared" si="135"/>
        <v>0</v>
      </c>
      <c r="BE29" s="280">
        <f t="shared" si="139"/>
        <v>12184.3845</v>
      </c>
      <c r="BF29" s="280">
        <f t="shared" si="136"/>
        <v>16239.947</v>
      </c>
      <c r="BG29" s="280">
        <f t="shared" si="137"/>
        <v>168544.75325000001</v>
      </c>
      <c r="BH29" s="596">
        <f t="shared" si="29"/>
        <v>42136.188312500002</v>
      </c>
      <c r="BI29" s="220">
        <f t="shared" si="140"/>
        <v>2022537.0390000001</v>
      </c>
      <c r="BJ29" s="71">
        <v>1</v>
      </c>
      <c r="BK29" s="429">
        <f t="shared" si="138"/>
        <v>101536.53749999999</v>
      </c>
    </row>
    <row r="30" spans="1:63" ht="31.5">
      <c r="A30" s="4">
        <v>6</v>
      </c>
      <c r="B30" s="135" t="s">
        <v>170</v>
      </c>
      <c r="C30" s="212" t="s">
        <v>169</v>
      </c>
      <c r="D30" s="212" t="s">
        <v>163</v>
      </c>
      <c r="E30" s="130" t="s">
        <v>161</v>
      </c>
      <c r="F30" s="212" t="s">
        <v>150</v>
      </c>
      <c r="G30" s="212">
        <v>11.03</v>
      </c>
      <c r="H30" s="380">
        <v>4.38</v>
      </c>
      <c r="I30" s="281">
        <f t="shared" si="109"/>
        <v>1.28</v>
      </c>
      <c r="J30" s="282"/>
      <c r="K30" s="281"/>
      <c r="L30" s="283">
        <v>18</v>
      </c>
      <c r="M30" s="283">
        <v>5</v>
      </c>
      <c r="N30" s="283"/>
      <c r="O30" s="282">
        <f t="shared" si="110"/>
        <v>23</v>
      </c>
      <c r="P30" s="231">
        <f t="shared" si="111"/>
        <v>0</v>
      </c>
      <c r="Q30" s="220">
        <f t="shared" si="112"/>
        <v>0</v>
      </c>
      <c r="R30" s="220">
        <f t="shared" si="113"/>
        <v>77512.860000000015</v>
      </c>
      <c r="S30" s="220">
        <f t="shared" si="114"/>
        <v>21531.35</v>
      </c>
      <c r="T30" s="254">
        <f t="shared" si="115"/>
        <v>0</v>
      </c>
      <c r="U30" s="220">
        <f t="shared" si="116"/>
        <v>99044.210000000021</v>
      </c>
      <c r="V30" s="229">
        <v>25</v>
      </c>
      <c r="W30" s="220">
        <f t="shared" si="117"/>
        <v>24761.052500000005</v>
      </c>
      <c r="X30" s="220">
        <f t="shared" si="118"/>
        <v>123805.26250000003</v>
      </c>
      <c r="Y30" s="229"/>
      <c r="Z30" s="254">
        <f t="shared" si="119"/>
        <v>0</v>
      </c>
      <c r="AA30" s="230"/>
      <c r="AB30" s="231">
        <f t="shared" si="120"/>
        <v>0</v>
      </c>
      <c r="AC30" s="231"/>
      <c r="AD30" s="231">
        <f t="shared" si="121"/>
        <v>0</v>
      </c>
      <c r="AE30" s="229">
        <v>13</v>
      </c>
      <c r="AF30" s="220">
        <f t="shared" si="122"/>
        <v>2556.2333333333331</v>
      </c>
      <c r="AG30" s="229">
        <v>1.5</v>
      </c>
      <c r="AH30" s="220">
        <f t="shared" si="123"/>
        <v>294.95</v>
      </c>
      <c r="AI30" s="229"/>
      <c r="AJ30" s="213">
        <f t="shared" si="124"/>
        <v>0</v>
      </c>
      <c r="AK30" s="255">
        <f t="shared" si="125"/>
        <v>14.5</v>
      </c>
      <c r="AL30" s="220">
        <f t="shared" si="126"/>
        <v>2851.1833333333329</v>
      </c>
      <c r="AM30" s="229"/>
      <c r="AN30" s="231">
        <f t="shared" si="127"/>
        <v>0</v>
      </c>
      <c r="AO30" s="230">
        <v>0.5</v>
      </c>
      <c r="AP30" s="254">
        <f t="shared" si="128"/>
        <v>2654.5499999999997</v>
      </c>
      <c r="AQ30" s="231"/>
      <c r="AR30" s="231">
        <f t="shared" si="129"/>
        <v>0</v>
      </c>
      <c r="AS30" s="229"/>
      <c r="AT30" s="231">
        <f t="shared" si="130"/>
        <v>0</v>
      </c>
      <c r="AU30" s="229"/>
      <c r="AV30" s="231">
        <f t="shared" si="131"/>
        <v>0</v>
      </c>
      <c r="AW30" s="228"/>
      <c r="AX30" s="231">
        <f t="shared" si="132"/>
        <v>0</v>
      </c>
      <c r="AY30" s="229"/>
      <c r="AZ30" s="213">
        <f t="shared" si="133"/>
        <v>0</v>
      </c>
      <c r="BA30" s="231"/>
      <c r="BB30" s="231">
        <f t="shared" si="134"/>
        <v>0</v>
      </c>
      <c r="BC30" s="231"/>
      <c r="BD30" s="213">
        <f t="shared" si="135"/>
        <v>0</v>
      </c>
      <c r="BE30" s="220">
        <f t="shared" si="139"/>
        <v>9904.4210000000021</v>
      </c>
      <c r="BF30" s="220">
        <f t="shared" si="136"/>
        <v>15410.154333333336</v>
      </c>
      <c r="BG30" s="220">
        <f t="shared" si="137"/>
        <v>139215.41683333335</v>
      </c>
      <c r="BH30" s="596">
        <f t="shared" si="29"/>
        <v>34803.854208333338</v>
      </c>
      <c r="BI30" s="220">
        <f t="shared" si="140"/>
        <v>1670585.0020000003</v>
      </c>
      <c r="BJ30" s="71">
        <v>1</v>
      </c>
      <c r="BK30" s="429">
        <f t="shared" si="138"/>
        <v>96891.074999999997</v>
      </c>
    </row>
    <row r="31" spans="1:63" ht="32.25" customHeight="1">
      <c r="A31" s="4">
        <v>7</v>
      </c>
      <c r="B31" s="133" t="s">
        <v>419</v>
      </c>
      <c r="C31" s="212" t="s">
        <v>167</v>
      </c>
      <c r="D31" s="212" t="s">
        <v>166</v>
      </c>
      <c r="E31" s="219" t="s">
        <v>161</v>
      </c>
      <c r="F31" s="212" t="s">
        <v>150</v>
      </c>
      <c r="G31" s="212">
        <v>2.09</v>
      </c>
      <c r="H31" s="381">
        <v>4.1900000000000004</v>
      </c>
      <c r="I31" s="281">
        <f t="shared" si="109"/>
        <v>0.44</v>
      </c>
      <c r="J31" s="282"/>
      <c r="K31" s="282"/>
      <c r="L31" s="283"/>
      <c r="M31" s="283">
        <v>8</v>
      </c>
      <c r="N31" s="283"/>
      <c r="O31" s="282">
        <f t="shared" si="110"/>
        <v>8</v>
      </c>
      <c r="P31" s="231">
        <f t="shared" si="111"/>
        <v>0</v>
      </c>
      <c r="Q31" s="254">
        <f t="shared" si="112"/>
        <v>0</v>
      </c>
      <c r="R31" s="254">
        <f t="shared" si="113"/>
        <v>0</v>
      </c>
      <c r="S31" s="220">
        <f t="shared" si="114"/>
        <v>32955.746666666673</v>
      </c>
      <c r="T31" s="254">
        <f t="shared" si="115"/>
        <v>0</v>
      </c>
      <c r="U31" s="220">
        <f t="shared" si="116"/>
        <v>32955.746666666673</v>
      </c>
      <c r="V31" s="229">
        <v>25</v>
      </c>
      <c r="W31" s="220">
        <f t="shared" si="117"/>
        <v>8238.9366666666683</v>
      </c>
      <c r="X31" s="220">
        <f t="shared" si="118"/>
        <v>41194.683333333342</v>
      </c>
      <c r="Y31" s="229"/>
      <c r="Z31" s="254">
        <f t="shared" ref="Z31" si="161">($H$4*0.25)*Y31/18</f>
        <v>0</v>
      </c>
      <c r="AA31" s="230"/>
      <c r="AB31" s="231">
        <f t="shared" ref="AB31" si="162">SUM(($H$4*0.25)/18)*AA31</f>
        <v>0</v>
      </c>
      <c r="AC31" s="231"/>
      <c r="AD31" s="231">
        <f t="shared" ref="AD31" si="163">SUM(($H$4*0.25)/18*AC31)</f>
        <v>0</v>
      </c>
      <c r="AE31" s="229"/>
      <c r="AF31" s="231">
        <f t="shared" ref="AF31:AF34" si="164">SUM(($H$4*0.2)/18)*AE31</f>
        <v>0</v>
      </c>
      <c r="AG31" s="229">
        <v>3</v>
      </c>
      <c r="AH31" s="213">
        <f t="shared" ref="AH31" si="165">SUM(($H$4*0.2)/18)*AG31</f>
        <v>589.9</v>
      </c>
      <c r="AI31" s="229"/>
      <c r="AJ31" s="213">
        <f t="shared" si="124"/>
        <v>0</v>
      </c>
      <c r="AK31" s="255">
        <f t="shared" si="125"/>
        <v>3</v>
      </c>
      <c r="AL31" s="231">
        <f t="shared" si="126"/>
        <v>589.9</v>
      </c>
      <c r="AM31" s="229"/>
      <c r="AN31" s="231">
        <f t="shared" si="127"/>
        <v>0</v>
      </c>
      <c r="AO31" s="230"/>
      <c r="AP31" s="254">
        <f t="shared" si="128"/>
        <v>0</v>
      </c>
      <c r="AQ31" s="231"/>
      <c r="AR31" s="231">
        <f t="shared" ref="AR31" si="166">SUM($H$4*0.2*AQ31)</f>
        <v>0</v>
      </c>
      <c r="AS31" s="229"/>
      <c r="AT31" s="231">
        <f t="shared" ref="AT31" si="167">SUM($H$4*$H31*AS31/18)</f>
        <v>0</v>
      </c>
      <c r="AU31" s="229"/>
      <c r="AV31" s="231">
        <f t="shared" ref="AV31" si="168">SUM($H$4*$H31*AU31/18)*0.7</f>
        <v>0</v>
      </c>
      <c r="AW31" s="228"/>
      <c r="AX31" s="231">
        <f t="shared" ref="AX31" si="169">SUM($H$4*$H31*AW31/18)*0.3</f>
        <v>0</v>
      </c>
      <c r="AY31" s="229"/>
      <c r="AZ31" s="213">
        <f t="shared" ref="AZ31" si="170">SUM(($H$4*0.25)/18)*AY31</f>
        <v>0</v>
      </c>
      <c r="BA31" s="231"/>
      <c r="BB31" s="231">
        <f t="shared" ref="BB31" si="171">SUM($H$4*0.2)*BA31</f>
        <v>0</v>
      </c>
      <c r="BC31" s="231"/>
      <c r="BD31" s="213">
        <f t="shared" ref="BD31" si="172">((($H$4*BC31)/100)*20)/100</f>
        <v>0</v>
      </c>
      <c r="BE31" s="220">
        <f t="shared" ref="BE31" si="173">SUM(U31*0.1)</f>
        <v>3295.5746666666673</v>
      </c>
      <c r="BF31" s="220">
        <f t="shared" ref="BF31" si="174">AL31+AN31+AP31+AT31+AV31+AX31+AZ31+BB31+BD31+BE31+AR31</f>
        <v>3885.4746666666674</v>
      </c>
      <c r="BG31" s="220">
        <f t="shared" ref="BG31" si="175">X31+BF31</f>
        <v>45080.15800000001</v>
      </c>
      <c r="BH31" s="596">
        <f t="shared" si="29"/>
        <v>11270.039500000003</v>
      </c>
      <c r="BI31" s="220">
        <f t="shared" si="140"/>
        <v>540961.89600000018</v>
      </c>
      <c r="BJ31" s="71"/>
      <c r="BK31" s="429">
        <f t="shared" si="138"/>
        <v>0</v>
      </c>
    </row>
    <row r="32" spans="1:63" ht="32.25" customHeight="1">
      <c r="A32" s="691">
        <v>8</v>
      </c>
      <c r="B32" s="689" t="s">
        <v>378</v>
      </c>
      <c r="C32" s="212" t="s">
        <v>240</v>
      </c>
      <c r="D32" s="212" t="s">
        <v>163</v>
      </c>
      <c r="E32" s="219" t="s">
        <v>379</v>
      </c>
      <c r="F32" s="212" t="s">
        <v>150</v>
      </c>
      <c r="G32" s="212">
        <v>7.09</v>
      </c>
      <c r="H32" s="381">
        <v>4.33</v>
      </c>
      <c r="I32" s="281">
        <f t="shared" ref="I32:I33" si="176">ROUND((((J32+K32))/24)+(L32+M32+N32)/18,2)</f>
        <v>0.5</v>
      </c>
      <c r="J32" s="282"/>
      <c r="K32" s="282"/>
      <c r="L32" s="283"/>
      <c r="M32" s="283">
        <v>9</v>
      </c>
      <c r="N32" s="283"/>
      <c r="O32" s="282">
        <f t="shared" ref="O32:O33" si="177">SUM(J32:N32)</f>
        <v>9</v>
      </c>
      <c r="P32" s="231">
        <f t="shared" ref="P32:P33" si="178">SUM(($H$4*H32)/24)*J32</f>
        <v>0</v>
      </c>
      <c r="Q32" s="254">
        <f t="shared" ref="Q32:Q33" si="179">SUM(($H$4*H32)/24)*K32</f>
        <v>0</v>
      </c>
      <c r="R32" s="254">
        <f t="shared" ref="R32:R33" si="180">($H$4*H32)/18*L32</f>
        <v>0</v>
      </c>
      <c r="S32" s="220">
        <f t="shared" ref="S32:S33" si="181">($H$4*H32)*M32/18</f>
        <v>38314.004999999997</v>
      </c>
      <c r="T32" s="254">
        <f t="shared" ref="T32:T33" si="182">($H$4*H32)/18*N32</f>
        <v>0</v>
      </c>
      <c r="U32" s="220">
        <f t="shared" ref="U32:U33" si="183">SUM(P32:T32)</f>
        <v>38314.004999999997</v>
      </c>
      <c r="V32" s="229">
        <v>25</v>
      </c>
      <c r="W32" s="220">
        <f t="shared" ref="W32" si="184">(U32*V32)/100</f>
        <v>9578.5012499999993</v>
      </c>
      <c r="X32" s="220">
        <f t="shared" ref="X32" si="185">SUM(U32,W32)</f>
        <v>47892.506249999999</v>
      </c>
      <c r="Y32" s="229"/>
      <c r="Z32" s="254">
        <f t="shared" ref="Z32" si="186">($H$4*0.25)*Y32/18</f>
        <v>0</v>
      </c>
      <c r="AA32" s="230"/>
      <c r="AB32" s="231">
        <f t="shared" ref="AB32" si="187">SUM(($H$4*0.25)/18)*AA32</f>
        <v>0</v>
      </c>
      <c r="AC32" s="231"/>
      <c r="AD32" s="231">
        <f t="shared" ref="AD32" si="188">SUM(($H$4*0.25)/18*AC32)</f>
        <v>0</v>
      </c>
      <c r="AE32" s="229"/>
      <c r="AF32" s="231">
        <f t="shared" ref="AF32" si="189">SUM(($H$4*0.2)/18)*AE32</f>
        <v>0</v>
      </c>
      <c r="AG32" s="229"/>
      <c r="AH32" s="213">
        <f t="shared" ref="AH32" si="190">SUM(($H$4*0.2)/18)*AG32</f>
        <v>0</v>
      </c>
      <c r="AI32" s="229"/>
      <c r="AJ32" s="213">
        <f t="shared" ref="AJ32" si="191">SUM(($H$4*0.2)/18)*AI32</f>
        <v>0</v>
      </c>
      <c r="AK32" s="255">
        <f t="shared" ref="AK32" si="192">SUM(Y32,AA32,AC32,AE32,AG32,AI32)</f>
        <v>0</v>
      </c>
      <c r="AL32" s="231">
        <f t="shared" ref="AL32" si="193">SUM(Z32,AB32,AD32,AF32,AH32,AJ32)</f>
        <v>0</v>
      </c>
      <c r="AM32" s="229"/>
      <c r="AN32" s="231">
        <f t="shared" ref="AN32" si="194">SUM($H$4*0.25)*AM32</f>
        <v>0</v>
      </c>
      <c r="AO32" s="230"/>
      <c r="AP32" s="254">
        <f t="shared" ref="AP32" si="195">SUM($H$4*0.3)*AO32</f>
        <v>0</v>
      </c>
      <c r="AQ32" s="231"/>
      <c r="AR32" s="231">
        <f t="shared" ref="AR32" si="196">SUM($H$4*0.2*AQ32)</f>
        <v>0</v>
      </c>
      <c r="AS32" s="229"/>
      <c r="AT32" s="231">
        <f t="shared" ref="AT32" si="197">SUM($H$4*$H32*AS32/18)</f>
        <v>0</v>
      </c>
      <c r="AU32" s="229"/>
      <c r="AV32" s="231">
        <f t="shared" ref="AV32" si="198">SUM($H$4*$H32*AU32/18)*0.7</f>
        <v>0</v>
      </c>
      <c r="AW32" s="228"/>
      <c r="AX32" s="231">
        <f t="shared" ref="AX32" si="199">SUM($H$4*$H32*AW32/18)*0.3</f>
        <v>0</v>
      </c>
      <c r="AY32" s="229"/>
      <c r="AZ32" s="213">
        <f t="shared" ref="AZ32" si="200">SUM(($H$4*0.25)/18)*AY32</f>
        <v>0</v>
      </c>
      <c r="BA32" s="231"/>
      <c r="BB32" s="231">
        <f t="shared" ref="BB32" si="201">SUM($H$4*0.2)*BA32</f>
        <v>0</v>
      </c>
      <c r="BC32" s="231"/>
      <c r="BD32" s="213">
        <f t="shared" ref="BD32" si="202">((($H$4*BC32)/100)*20)/100</f>
        <v>0</v>
      </c>
      <c r="BE32" s="220">
        <f t="shared" ref="BE32" si="203">SUM(U32*0.1)</f>
        <v>3831.4004999999997</v>
      </c>
      <c r="BF32" s="220">
        <f t="shared" ref="BF32" si="204">AL32+AN32+AP32+AT32+AV32+AX32+AZ32+BB32+BD32+BE32+AR32</f>
        <v>3831.4004999999997</v>
      </c>
      <c r="BG32" s="220">
        <f t="shared" ref="BG32" si="205">X32+BF32</f>
        <v>51723.906749999995</v>
      </c>
      <c r="BH32" s="596">
        <f t="shared" si="29"/>
        <v>12930.976687499999</v>
      </c>
      <c r="BI32" s="220">
        <f t="shared" si="140"/>
        <v>620686.88099999994</v>
      </c>
      <c r="BJ32" s="71">
        <v>0.61</v>
      </c>
      <c r="BK32" s="429">
        <f t="shared" si="138"/>
        <v>58428.857624999997</v>
      </c>
    </row>
    <row r="33" spans="1:63" ht="18" customHeight="1">
      <c r="A33" s="692"/>
      <c r="B33" s="690"/>
      <c r="C33" s="412" t="s">
        <v>285</v>
      </c>
      <c r="D33" s="212" t="s">
        <v>163</v>
      </c>
      <c r="E33" s="219" t="s">
        <v>379</v>
      </c>
      <c r="F33" s="212" t="s">
        <v>150</v>
      </c>
      <c r="G33" s="212">
        <v>7.09</v>
      </c>
      <c r="H33" s="381">
        <v>4.33</v>
      </c>
      <c r="I33" s="281">
        <f t="shared" si="176"/>
        <v>0.11</v>
      </c>
      <c r="J33" s="282"/>
      <c r="K33" s="282"/>
      <c r="L33" s="283"/>
      <c r="M33" s="283">
        <v>2</v>
      </c>
      <c r="N33" s="283"/>
      <c r="O33" s="282">
        <f t="shared" si="177"/>
        <v>2</v>
      </c>
      <c r="P33" s="231">
        <f t="shared" si="178"/>
        <v>0</v>
      </c>
      <c r="Q33" s="254">
        <f t="shared" si="179"/>
        <v>0</v>
      </c>
      <c r="R33" s="254">
        <f t="shared" si="180"/>
        <v>0</v>
      </c>
      <c r="S33" s="220">
        <f t="shared" si="181"/>
        <v>8514.2233333333334</v>
      </c>
      <c r="T33" s="254">
        <f t="shared" si="182"/>
        <v>0</v>
      </c>
      <c r="U33" s="220">
        <f t="shared" si="183"/>
        <v>8514.2233333333334</v>
      </c>
      <c r="V33" s="229">
        <v>26</v>
      </c>
      <c r="W33" s="220">
        <f t="shared" ref="W33" si="206">(U33*V33)/100</f>
        <v>2213.6980666666668</v>
      </c>
      <c r="X33" s="220">
        <f t="shared" ref="X33" si="207">SUM(U33,W33)</f>
        <v>10727.921399999999</v>
      </c>
      <c r="Y33" s="229"/>
      <c r="Z33" s="254">
        <f t="shared" ref="Z33" si="208">($H$4*0.25)*Y33/18</f>
        <v>0</v>
      </c>
      <c r="AA33" s="230"/>
      <c r="AB33" s="231">
        <f t="shared" ref="AB33" si="209">SUM(($H$4*0.25)/18)*AA33</f>
        <v>0</v>
      </c>
      <c r="AC33" s="231"/>
      <c r="AD33" s="231">
        <f t="shared" ref="AD33" si="210">SUM(($H$4*0.25)/18*AC33)</f>
        <v>0</v>
      </c>
      <c r="AE33" s="229"/>
      <c r="AF33" s="231">
        <f t="shared" ref="AF33" si="211">SUM(($H$4*0.2)/18)*AE33</f>
        <v>0</v>
      </c>
      <c r="AG33" s="229"/>
      <c r="AH33" s="213">
        <f t="shared" ref="AH33" si="212">SUM(($H$4*0.2)/18)*AG33</f>
        <v>0</v>
      </c>
      <c r="AI33" s="229"/>
      <c r="AJ33" s="213">
        <f t="shared" ref="AJ33" si="213">SUM(($H$4*0.2)/18)*AI33</f>
        <v>0</v>
      </c>
      <c r="AK33" s="255">
        <f t="shared" ref="AK33" si="214">SUM(Y33,AA33,AC33,AE33,AG33,AI33)</f>
        <v>0</v>
      </c>
      <c r="AL33" s="231">
        <f t="shared" ref="AL33" si="215">SUM(Z33,AB33,AD33,AF33,AH33,AJ33)</f>
        <v>0</v>
      </c>
      <c r="AM33" s="229"/>
      <c r="AN33" s="231">
        <f t="shared" ref="AN33" si="216">SUM($H$4*0.25)*AM33</f>
        <v>0</v>
      </c>
      <c r="AO33" s="230"/>
      <c r="AP33" s="254">
        <f t="shared" ref="AP33" si="217">SUM($H$4*0.3)*AO33</f>
        <v>0</v>
      </c>
      <c r="AQ33" s="231"/>
      <c r="AR33" s="231">
        <f t="shared" ref="AR33" si="218">SUM($H$4*0.2*AQ33)</f>
        <v>0</v>
      </c>
      <c r="AS33" s="229"/>
      <c r="AT33" s="231">
        <f t="shared" ref="AT33" si="219">SUM($H$4*$H33*AS33/18)</f>
        <v>0</v>
      </c>
      <c r="AU33" s="229"/>
      <c r="AV33" s="231">
        <f t="shared" ref="AV33" si="220">SUM($H$4*$H33*AU33/18)*0.7</f>
        <v>0</v>
      </c>
      <c r="AW33" s="228"/>
      <c r="AX33" s="231">
        <f t="shared" ref="AX33" si="221">SUM($H$4*$H33*AW33/18)*0.3</f>
        <v>0</v>
      </c>
      <c r="AY33" s="229"/>
      <c r="AZ33" s="213">
        <f t="shared" ref="AZ33" si="222">SUM(($H$4*0.25)/18)*AY33</f>
        <v>0</v>
      </c>
      <c r="BA33" s="231"/>
      <c r="BB33" s="231">
        <f t="shared" ref="BB33" si="223">SUM($H$4*0.2)*BA33</f>
        <v>0</v>
      </c>
      <c r="BC33" s="231"/>
      <c r="BD33" s="213">
        <f t="shared" ref="BD33" si="224">((($H$4*BC33)/100)*20)/100</f>
        <v>0</v>
      </c>
      <c r="BE33" s="220">
        <f t="shared" ref="BE33" si="225">SUM(U33*0.1)</f>
        <v>851.42233333333343</v>
      </c>
      <c r="BF33" s="220">
        <f t="shared" ref="BF33" si="226">AL33+AN33+AP33+AT33+AV33+AX33+AZ33+BB33+BD33+BE33+AR33</f>
        <v>851.42233333333343</v>
      </c>
      <c r="BG33" s="220">
        <f t="shared" ref="BG33" si="227">X33+BF33</f>
        <v>11579.343733333333</v>
      </c>
      <c r="BH33" s="596">
        <f t="shared" si="29"/>
        <v>2894.8359333333333</v>
      </c>
      <c r="BI33" s="220">
        <f t="shared" ref="BI33" si="228">BG33*12</f>
        <v>138952.12479999999</v>
      </c>
      <c r="BJ33" s="71">
        <v>1.61</v>
      </c>
      <c r="BK33" s="429">
        <f t="shared" si="138"/>
        <v>155447.58108599999</v>
      </c>
    </row>
    <row r="34" spans="1:63" ht="31.5">
      <c r="A34" s="379">
        <v>9</v>
      </c>
      <c r="B34" s="134" t="s">
        <v>287</v>
      </c>
      <c r="C34" s="212" t="s">
        <v>425</v>
      </c>
      <c r="D34" s="212" t="s">
        <v>162</v>
      </c>
      <c r="E34" s="130" t="s">
        <v>161</v>
      </c>
      <c r="F34" s="212" t="s">
        <v>153</v>
      </c>
      <c r="G34" s="212">
        <v>15.05</v>
      </c>
      <c r="H34" s="381">
        <v>4.49</v>
      </c>
      <c r="I34" s="281">
        <f t="shared" si="109"/>
        <v>1.28</v>
      </c>
      <c r="J34" s="282"/>
      <c r="K34" s="282"/>
      <c r="L34" s="283">
        <v>23</v>
      </c>
      <c r="M34" s="283"/>
      <c r="N34" s="283"/>
      <c r="O34" s="282">
        <f t="shared" si="110"/>
        <v>23</v>
      </c>
      <c r="P34" s="231">
        <f t="shared" si="111"/>
        <v>0</v>
      </c>
      <c r="Q34" s="220">
        <f t="shared" si="112"/>
        <v>0</v>
      </c>
      <c r="R34" s="220">
        <f t="shared" si="113"/>
        <v>101531.62166666666</v>
      </c>
      <c r="S34" s="254">
        <f t="shared" si="114"/>
        <v>0</v>
      </c>
      <c r="T34" s="254">
        <f t="shared" si="115"/>
        <v>0</v>
      </c>
      <c r="U34" s="220">
        <f t="shared" si="116"/>
        <v>101531.62166666666</v>
      </c>
      <c r="V34" s="229">
        <v>25</v>
      </c>
      <c r="W34" s="220">
        <f t="shared" si="117"/>
        <v>25382.905416666665</v>
      </c>
      <c r="X34" s="220">
        <f t="shared" si="118"/>
        <v>126914.52708333332</v>
      </c>
      <c r="Y34" s="229"/>
      <c r="Z34" s="254">
        <f t="shared" si="119"/>
        <v>0</v>
      </c>
      <c r="AA34" s="230"/>
      <c r="AB34" s="231"/>
      <c r="AC34" s="231"/>
      <c r="AD34" s="231"/>
      <c r="AE34" s="229">
        <v>18</v>
      </c>
      <c r="AF34" s="231">
        <f t="shared" si="164"/>
        <v>3539.3999999999996</v>
      </c>
      <c r="AG34" s="229"/>
      <c r="AH34" s="213"/>
      <c r="AI34" s="229"/>
      <c r="AJ34" s="213">
        <f t="shared" si="124"/>
        <v>0</v>
      </c>
      <c r="AK34" s="255">
        <f t="shared" si="125"/>
        <v>18</v>
      </c>
      <c r="AL34" s="231">
        <f t="shared" si="126"/>
        <v>3539.3999999999996</v>
      </c>
      <c r="AM34" s="229">
        <v>1</v>
      </c>
      <c r="AN34" s="220">
        <f t="shared" si="127"/>
        <v>4424.25</v>
      </c>
      <c r="AO34" s="230"/>
      <c r="AP34" s="254">
        <f t="shared" si="128"/>
        <v>0</v>
      </c>
      <c r="AQ34" s="231"/>
      <c r="AR34" s="231">
        <f t="shared" ref="AR34" si="229">SUM($H$4*0.2*AQ34)</f>
        <v>0</v>
      </c>
      <c r="AS34" s="229"/>
      <c r="AT34" s="231">
        <f t="shared" ref="AT34" si="230">SUM($H$4*$H34*AS34/18)</f>
        <v>0</v>
      </c>
      <c r="AU34" s="229"/>
      <c r="AV34" s="231">
        <f t="shared" ref="AV34" si="231">SUM($H$4*$H34*AU34/18)*0.7</f>
        <v>0</v>
      </c>
      <c r="AW34" s="228"/>
      <c r="AX34" s="231">
        <f t="shared" ref="AX34" si="232">SUM($H$4*$H34*AW34/18)*0.3</f>
        <v>0</v>
      </c>
      <c r="AY34" s="229"/>
      <c r="AZ34" s="213">
        <f t="shared" ref="AZ34" si="233">SUM(($H$4*0.25)/18)*AY34</f>
        <v>0</v>
      </c>
      <c r="BA34" s="231"/>
      <c r="BB34" s="231">
        <f t="shared" ref="BB34" si="234">SUM($H$4*0.2)*BA34</f>
        <v>0</v>
      </c>
      <c r="BC34" s="231"/>
      <c r="BD34" s="213">
        <f t="shared" ref="BD34" si="235">((($H$4*BC34)/100)*20)/100</f>
        <v>0</v>
      </c>
      <c r="BE34" s="220">
        <f t="shared" ref="BE34" si="236">SUM(U34*0.1)</f>
        <v>10153.162166666667</v>
      </c>
      <c r="BF34" s="220">
        <f t="shared" ref="BF34" si="237">AL34+AN34+AP34+AT34+AV34+AX34+AZ34+BB34+BD34+BE34+AR34</f>
        <v>18116.812166666667</v>
      </c>
      <c r="BG34" s="220">
        <f t="shared" ref="BG34" si="238">X34+BF34</f>
        <v>145031.33924999999</v>
      </c>
      <c r="BH34" s="596">
        <f t="shared" si="29"/>
        <v>36257.834812499997</v>
      </c>
      <c r="BI34" s="220">
        <f t="shared" si="140"/>
        <v>1740376.071</v>
      </c>
      <c r="BJ34" s="71">
        <v>1</v>
      </c>
      <c r="BK34" s="429">
        <f t="shared" si="138"/>
        <v>99324.412500000006</v>
      </c>
    </row>
    <row r="35" spans="1:63" ht="18" customHeight="1">
      <c r="A35" s="691">
        <v>10</v>
      </c>
      <c r="B35" s="709" t="s">
        <v>165</v>
      </c>
      <c r="C35" s="212" t="s">
        <v>284</v>
      </c>
      <c r="D35" s="212" t="s">
        <v>163</v>
      </c>
      <c r="E35" s="130" t="s">
        <v>161</v>
      </c>
      <c r="F35" s="212" t="s">
        <v>150</v>
      </c>
      <c r="G35" s="212">
        <v>14.04</v>
      </c>
      <c r="H35" s="380">
        <v>4.49</v>
      </c>
      <c r="I35" s="281">
        <f t="shared" si="109"/>
        <v>1.5</v>
      </c>
      <c r="J35" s="282"/>
      <c r="K35" s="280"/>
      <c r="L35" s="283">
        <v>6</v>
      </c>
      <c r="M35" s="283">
        <v>21</v>
      </c>
      <c r="N35" s="283"/>
      <c r="O35" s="282">
        <f t="shared" si="110"/>
        <v>27</v>
      </c>
      <c r="P35" s="231">
        <f t="shared" si="111"/>
        <v>0</v>
      </c>
      <c r="Q35" s="254">
        <f t="shared" si="112"/>
        <v>0</v>
      </c>
      <c r="R35" s="220">
        <f t="shared" si="113"/>
        <v>26486.51</v>
      </c>
      <c r="S35" s="220">
        <f t="shared" si="114"/>
        <v>92702.784999999989</v>
      </c>
      <c r="T35" s="254">
        <f t="shared" si="115"/>
        <v>0</v>
      </c>
      <c r="U35" s="220">
        <f t="shared" si="116"/>
        <v>119189.29499999998</v>
      </c>
      <c r="V35" s="229">
        <v>25</v>
      </c>
      <c r="W35" s="220">
        <f t="shared" si="117"/>
        <v>29797.323749999996</v>
      </c>
      <c r="X35" s="220">
        <f t="shared" si="118"/>
        <v>148986.61874999997</v>
      </c>
      <c r="Y35" s="229">
        <v>6</v>
      </c>
      <c r="Z35" s="220">
        <f>($H$4*0.25)*Y35/18</f>
        <v>1474.75</v>
      </c>
      <c r="AA35" s="230">
        <v>10</v>
      </c>
      <c r="AB35" s="220">
        <f>SUM(($H$4*0.25)/18)*AA35</f>
        <v>2457.9166666666665</v>
      </c>
      <c r="AC35" s="231"/>
      <c r="AD35" s="231">
        <f>SUM(($H$4*0.25)/18*AC35)</f>
        <v>0</v>
      </c>
      <c r="AE35" s="229"/>
      <c r="AF35" s="231">
        <f>SUM(($H$4*0.2)/18)*AE35</f>
        <v>0</v>
      </c>
      <c r="AG35" s="229"/>
      <c r="AH35" s="213">
        <f>SUM(($H$4*0.2)/18)*AG35</f>
        <v>0</v>
      </c>
      <c r="AI35" s="229"/>
      <c r="AJ35" s="213">
        <f t="shared" si="124"/>
        <v>0</v>
      </c>
      <c r="AK35" s="255">
        <f t="shared" si="125"/>
        <v>16</v>
      </c>
      <c r="AL35" s="220">
        <f t="shared" si="126"/>
        <v>3932.6666666666665</v>
      </c>
      <c r="AM35" s="229"/>
      <c r="AN35" s="231">
        <f t="shared" si="127"/>
        <v>0</v>
      </c>
      <c r="AO35" s="230">
        <v>0.5</v>
      </c>
      <c r="AP35" s="220">
        <f t="shared" si="128"/>
        <v>2654.5499999999997</v>
      </c>
      <c r="AQ35" s="231"/>
      <c r="AR35" s="231">
        <f>SUM($H$4*0.2*AQ35)</f>
        <v>0</v>
      </c>
      <c r="AS35" s="229"/>
      <c r="AT35" s="231">
        <f>SUM($H$4*$H35*AS35/18)</f>
        <v>0</v>
      </c>
      <c r="AU35" s="229"/>
      <c r="AV35" s="231">
        <f>SUM($H$4*$H35*AU35/18)*0.7</f>
        <v>0</v>
      </c>
      <c r="AW35" s="228"/>
      <c r="AX35" s="231">
        <f>SUM($H$4*$H35*AW35/18)*0.3</f>
        <v>0</v>
      </c>
      <c r="AY35" s="229"/>
      <c r="AZ35" s="213">
        <f>SUM(($H$4*0.25)/18)*AY35</f>
        <v>0</v>
      </c>
      <c r="BA35" s="231"/>
      <c r="BB35" s="231">
        <f>SUM($H$4*0.2)*BA35</f>
        <v>0</v>
      </c>
      <c r="BC35" s="231"/>
      <c r="BD35" s="213">
        <f>((($H$4*BC35)/100)*20)/100</f>
        <v>0</v>
      </c>
      <c r="BE35" s="220">
        <f>SUM(U35*0.1)</f>
        <v>11918.929499999998</v>
      </c>
      <c r="BF35" s="220">
        <f>AL35+AN35+AP35+AT35+AV35+AX35+AZ35+BB35+BD35+BE35+AR35</f>
        <v>18506.146166666666</v>
      </c>
      <c r="BG35" s="220">
        <f>X35+BF35</f>
        <v>167492.76491666664</v>
      </c>
      <c r="BH35" s="596">
        <f t="shared" si="29"/>
        <v>41873.191229166659</v>
      </c>
      <c r="BI35" s="220">
        <f t="shared" si="140"/>
        <v>2009913.1789999995</v>
      </c>
      <c r="BJ35" s="71">
        <v>1</v>
      </c>
      <c r="BK35" s="429">
        <f t="shared" si="138"/>
        <v>99324.412500000006</v>
      </c>
    </row>
    <row r="36" spans="1:63">
      <c r="A36" s="692"/>
      <c r="B36" s="710"/>
      <c r="C36" s="412" t="s">
        <v>285</v>
      </c>
      <c r="D36" s="212" t="s">
        <v>163</v>
      </c>
      <c r="E36" s="130" t="s">
        <v>161</v>
      </c>
      <c r="F36" s="212" t="s">
        <v>150</v>
      </c>
      <c r="G36" s="212">
        <v>14.04</v>
      </c>
      <c r="H36" s="380">
        <v>4.49</v>
      </c>
      <c r="I36" s="281">
        <f t="shared" si="109"/>
        <v>0.11</v>
      </c>
      <c r="J36" s="282"/>
      <c r="K36" s="280"/>
      <c r="L36" s="283"/>
      <c r="M36" s="283">
        <v>2</v>
      </c>
      <c r="N36" s="283"/>
      <c r="O36" s="282">
        <f t="shared" si="110"/>
        <v>2</v>
      </c>
      <c r="P36" s="231">
        <f t="shared" si="111"/>
        <v>0</v>
      </c>
      <c r="Q36" s="254">
        <f t="shared" si="112"/>
        <v>0</v>
      </c>
      <c r="R36" s="220">
        <f t="shared" si="113"/>
        <v>0</v>
      </c>
      <c r="S36" s="220">
        <f t="shared" si="114"/>
        <v>8828.8366666666661</v>
      </c>
      <c r="T36" s="254">
        <f t="shared" si="115"/>
        <v>0</v>
      </c>
      <c r="U36" s="220">
        <f t="shared" ref="U36:U37" si="239">SUM(P36:T36)</f>
        <v>8828.8366666666661</v>
      </c>
      <c r="V36" s="229">
        <v>25</v>
      </c>
      <c r="W36" s="220">
        <f t="shared" ref="W36" si="240">(U36*V36)/100</f>
        <v>2207.2091666666665</v>
      </c>
      <c r="X36" s="220">
        <f t="shared" ref="X36" si="241">SUM(U36,W36)</f>
        <v>11036.045833333334</v>
      </c>
      <c r="Y36" s="229"/>
      <c r="Z36" s="220">
        <f>($H$4*0.25)*Y36/18</f>
        <v>0</v>
      </c>
      <c r="AA36" s="230"/>
      <c r="AB36" s="220">
        <f>SUM(($H$4*0.25)/18)*AA36</f>
        <v>0</v>
      </c>
      <c r="AC36" s="231"/>
      <c r="AD36" s="231">
        <f>SUM(($H$4*0.25)/18*AC36)</f>
        <v>0</v>
      </c>
      <c r="AE36" s="229"/>
      <c r="AF36" s="231">
        <f>SUM(($H$4*0.2)/18)*AE36</f>
        <v>0</v>
      </c>
      <c r="AG36" s="229"/>
      <c r="AH36" s="213">
        <f>SUM(($H$4*0.2)/18)*AG36</f>
        <v>0</v>
      </c>
      <c r="AI36" s="229"/>
      <c r="AJ36" s="213">
        <f t="shared" ref="AJ36" si="242">SUM(($H$4*0.2)/18)*AI36</f>
        <v>0</v>
      </c>
      <c r="AK36" s="255">
        <f t="shared" ref="AK36" si="243">SUM(Y36,AA36,AC36,AE36,AG36,AI36)</f>
        <v>0</v>
      </c>
      <c r="AL36" s="220">
        <f t="shared" ref="AL36" si="244">SUM(Z36,AB36,AD36,AF36,AH36,AJ36)</f>
        <v>0</v>
      </c>
      <c r="AM36" s="229"/>
      <c r="AN36" s="231">
        <f t="shared" ref="AN36" si="245">SUM($H$4*0.25)*AM36</f>
        <v>0</v>
      </c>
      <c r="AO36" s="230"/>
      <c r="AP36" s="220">
        <f t="shared" ref="AP36" si="246">SUM($H$4*0.3)*AO36</f>
        <v>0</v>
      </c>
      <c r="AQ36" s="231"/>
      <c r="AR36" s="231">
        <f>SUM($H$4*0.2*AQ36)</f>
        <v>0</v>
      </c>
      <c r="AS36" s="229"/>
      <c r="AT36" s="231">
        <f>SUM($H$4*$H36*AS36/18)</f>
        <v>0</v>
      </c>
      <c r="AU36" s="229"/>
      <c r="AV36" s="231">
        <f>SUM($H$4*$H36*AU36/18)*0.7</f>
        <v>0</v>
      </c>
      <c r="AW36" s="228"/>
      <c r="AX36" s="231">
        <f>SUM($H$4*$H36*AW36/18)*0.3</f>
        <v>0</v>
      </c>
      <c r="AY36" s="229"/>
      <c r="AZ36" s="213">
        <f>SUM(($H$4*0.25)/18)*AY36</f>
        <v>0</v>
      </c>
      <c r="BA36" s="231"/>
      <c r="BB36" s="231">
        <f>SUM($H$4*0.2)*BA36</f>
        <v>0</v>
      </c>
      <c r="BC36" s="231"/>
      <c r="BD36" s="213">
        <f>((($H$4*BC36)/100)*20)/100</f>
        <v>0</v>
      </c>
      <c r="BE36" s="220"/>
      <c r="BF36" s="220">
        <f>AL36+AN36+AP36+AT36+AV36+AX36+AZ36+BB36+BD36+BE36+AR36</f>
        <v>0</v>
      </c>
      <c r="BG36" s="220">
        <f>X36+BF36</f>
        <v>11036.045833333334</v>
      </c>
      <c r="BH36" s="596">
        <f t="shared" si="29"/>
        <v>2759.0114583333334</v>
      </c>
      <c r="BI36" s="220">
        <f t="shared" si="140"/>
        <v>132432.54999999999</v>
      </c>
      <c r="BJ36" s="71"/>
      <c r="BK36" s="429">
        <f t="shared" si="138"/>
        <v>0</v>
      </c>
    </row>
    <row r="37" spans="1:63" ht="31.5">
      <c r="A37" s="454">
        <v>11</v>
      </c>
      <c r="B37" s="456" t="s">
        <v>420</v>
      </c>
      <c r="C37" s="599" t="s">
        <v>190</v>
      </c>
      <c r="D37" s="212" t="s">
        <v>163</v>
      </c>
      <c r="E37" s="130" t="s">
        <v>161</v>
      </c>
      <c r="F37" s="212" t="s">
        <v>150</v>
      </c>
      <c r="G37" s="212">
        <v>1</v>
      </c>
      <c r="H37" s="380">
        <v>4.1399999999999997</v>
      </c>
      <c r="I37" s="281"/>
      <c r="J37" s="282"/>
      <c r="K37" s="280">
        <v>2</v>
      </c>
      <c r="L37" s="283">
        <v>3</v>
      </c>
      <c r="M37" s="283">
        <v>4</v>
      </c>
      <c r="N37" s="283"/>
      <c r="O37" s="282">
        <f t="shared" si="110"/>
        <v>9</v>
      </c>
      <c r="P37" s="231">
        <f t="shared" si="111"/>
        <v>0</v>
      </c>
      <c r="Q37" s="254">
        <f t="shared" si="112"/>
        <v>6105.4649999999992</v>
      </c>
      <c r="R37" s="220">
        <f t="shared" si="113"/>
        <v>12210.929999999998</v>
      </c>
      <c r="S37" s="220">
        <f t="shared" si="114"/>
        <v>16281.239999999998</v>
      </c>
      <c r="T37" s="254">
        <f t="shared" si="115"/>
        <v>0</v>
      </c>
      <c r="U37" s="220">
        <f t="shared" si="239"/>
        <v>34597.634999999995</v>
      </c>
      <c r="V37" s="229">
        <v>26</v>
      </c>
      <c r="W37" s="220">
        <f t="shared" ref="W37" si="247">(U37*V37)/100</f>
        <v>8995.3850999999995</v>
      </c>
      <c r="X37" s="220">
        <f t="shared" ref="X37" si="248">SUM(U37,W37)</f>
        <v>43593.020099999994</v>
      </c>
      <c r="Y37" s="229"/>
      <c r="Z37" s="220">
        <f>($H$4*0.25)*Y37/18</f>
        <v>0</v>
      </c>
      <c r="AA37" s="230"/>
      <c r="AB37" s="220">
        <f>SUM(($H$4*0.25)/18)*AA37</f>
        <v>0</v>
      </c>
      <c r="AC37" s="231"/>
      <c r="AD37" s="231">
        <f>SUM(($H$4*0.25)/18*AC37)</f>
        <v>0</v>
      </c>
      <c r="AE37" s="229"/>
      <c r="AF37" s="231">
        <f>SUM(($H$4*0.2)/18)*AE37</f>
        <v>0</v>
      </c>
      <c r="AG37" s="229"/>
      <c r="AH37" s="213">
        <f>SUM(($H$4*0.2)/18)*AG37</f>
        <v>0</v>
      </c>
      <c r="AI37" s="229"/>
      <c r="AJ37" s="213">
        <f t="shared" ref="AJ37" si="249">SUM(($H$4*0.2)/18)*AI37</f>
        <v>0</v>
      </c>
      <c r="AK37" s="255">
        <f t="shared" ref="AK37" si="250">SUM(Y37,AA37,AC37,AE37,AG37,AI37)</f>
        <v>0</v>
      </c>
      <c r="AL37" s="220">
        <f t="shared" ref="AL37" si="251">SUM(Z37,AB37,AD37,AF37,AH37,AJ37)</f>
        <v>0</v>
      </c>
      <c r="AM37" s="229"/>
      <c r="AN37" s="231">
        <f t="shared" ref="AN37" si="252">SUM($H$4*0.25)*AM37</f>
        <v>0</v>
      </c>
      <c r="AO37" s="230"/>
      <c r="AP37" s="220">
        <f t="shared" ref="AP37" si="253">SUM($H$4*0.3)*AO37</f>
        <v>0</v>
      </c>
      <c r="AQ37" s="231"/>
      <c r="AR37" s="231">
        <f>SUM($H$4*0.2*AQ37)</f>
        <v>0</v>
      </c>
      <c r="AS37" s="229"/>
      <c r="AT37" s="231">
        <f>SUM($H$4*$H37*AS37/18)</f>
        <v>0</v>
      </c>
      <c r="AU37" s="229"/>
      <c r="AV37" s="231">
        <f>SUM($H$4*$H37*AU37/18)*0.7</f>
        <v>0</v>
      </c>
      <c r="AW37" s="228"/>
      <c r="AX37" s="231">
        <f>SUM($H$4*$H37*AW37/18)*0.3</f>
        <v>0</v>
      </c>
      <c r="AY37" s="229"/>
      <c r="AZ37" s="213">
        <f>SUM(($H$4*0.25)/18)*AY37</f>
        <v>0</v>
      </c>
      <c r="BA37" s="231"/>
      <c r="BB37" s="231">
        <f>SUM($H$4*0.2)*BA37</f>
        <v>0</v>
      </c>
      <c r="BC37" s="231"/>
      <c r="BD37" s="213">
        <f>((($H$4*BC37)/100)*20)/100</f>
        <v>0</v>
      </c>
      <c r="BE37" s="220"/>
      <c r="BF37" s="220">
        <f>AL37+AN37+AP37+AT37+AV37+AX37+AZ37+BB37+BD37+BE37+AR37</f>
        <v>0</v>
      </c>
      <c r="BG37" s="220">
        <f>X37+BF37</f>
        <v>43593.020099999994</v>
      </c>
      <c r="BH37" s="596">
        <f t="shared" si="29"/>
        <v>10898.255024999999</v>
      </c>
      <c r="BI37" s="220">
        <f t="shared" ref="BI37" si="254">BG37*12</f>
        <v>523116.24119999993</v>
      </c>
      <c r="BJ37" s="71"/>
      <c r="BK37" s="429">
        <f t="shared" si="138"/>
        <v>0</v>
      </c>
    </row>
    <row r="38" spans="1:63" s="287" customFormat="1" ht="31.5">
      <c r="A38" s="276">
        <v>14</v>
      </c>
      <c r="B38" s="290" t="s">
        <v>283</v>
      </c>
      <c r="C38" s="278" t="s">
        <v>175</v>
      </c>
      <c r="D38" s="278" t="s">
        <v>428</v>
      </c>
      <c r="E38" s="289" t="s">
        <v>161</v>
      </c>
      <c r="F38" s="278" t="s">
        <v>150</v>
      </c>
      <c r="G38" s="278">
        <v>3.02</v>
      </c>
      <c r="H38" s="380">
        <v>4.2300000000000004</v>
      </c>
      <c r="I38" s="281">
        <f t="shared" ref="I38" si="255">ROUND((((J38+K38))/24)+(L38+M38+N38)/18,2)</f>
        <v>1.17</v>
      </c>
      <c r="J38" s="282"/>
      <c r="K38" s="281"/>
      <c r="L38" s="283"/>
      <c r="M38" s="283">
        <v>21</v>
      </c>
      <c r="N38" s="283"/>
      <c r="O38" s="282">
        <f t="shared" ref="O38" si="256">SUM(J38:N38)</f>
        <v>21</v>
      </c>
      <c r="P38" s="278">
        <f t="shared" ref="P38" si="257">SUM(($H$4*H38)/24)*J38</f>
        <v>0</v>
      </c>
      <c r="Q38" s="282">
        <f t="shared" ref="Q38" si="258">SUM(($H$4*H38)/24)*K38</f>
        <v>0</v>
      </c>
      <c r="R38" s="282">
        <f t="shared" ref="R38" si="259">($H$4*H38)/18*L38</f>
        <v>0</v>
      </c>
      <c r="S38" s="280">
        <f t="shared" ref="S38" si="260">($H$4*H38)*M38/18</f>
        <v>87334.695000000007</v>
      </c>
      <c r="T38" s="282">
        <f t="shared" ref="T38" si="261">($H$4*H38)/18*N38</f>
        <v>0</v>
      </c>
      <c r="U38" s="280">
        <f t="shared" ref="U38" si="262">SUM(P38:T38)</f>
        <v>87334.695000000007</v>
      </c>
      <c r="V38" s="283">
        <v>25</v>
      </c>
      <c r="W38" s="280">
        <f t="shared" ref="W38" si="263">(U38*V38)/100</f>
        <v>21833.673750000002</v>
      </c>
      <c r="X38" s="280">
        <f t="shared" ref="X38" si="264">SUM(U38,W38)</f>
        <v>109168.36875000001</v>
      </c>
      <c r="Y38" s="283">
        <v>10</v>
      </c>
      <c r="Z38" s="282">
        <f>($H$4*0.25)*Y38/18</f>
        <v>2457.9166666666665</v>
      </c>
      <c r="AA38" s="284"/>
      <c r="AB38" s="280">
        <f>SUM(($H$4*0.25)/18)*AA38</f>
        <v>0</v>
      </c>
      <c r="AC38" s="278"/>
      <c r="AD38" s="278">
        <f>SUM(($H$4*0.25)/18*AC38)</f>
        <v>0</v>
      </c>
      <c r="AE38" s="283"/>
      <c r="AF38" s="278">
        <f>SUM(($H$4*0.2)/18)*AE38</f>
        <v>0</v>
      </c>
      <c r="AG38" s="283"/>
      <c r="AH38" s="281">
        <f>SUM(($H$4*0.2)/18)*AG38</f>
        <v>0</v>
      </c>
      <c r="AI38" s="283"/>
      <c r="AJ38" s="281">
        <f t="shared" ref="AJ38" si="265">SUM(($H$4*0.2)/18)*AI38</f>
        <v>0</v>
      </c>
      <c r="AK38" s="285">
        <f t="shared" ref="AK38" si="266">SUM(Y38,AA38,AC38,AE38,AG38,AI38)</f>
        <v>10</v>
      </c>
      <c r="AL38" s="280">
        <f t="shared" ref="AL38" si="267">SUM(Z38,AB38,AD38,AF38,AH38,AJ38)</f>
        <v>2457.9166666666665</v>
      </c>
      <c r="AM38" s="283"/>
      <c r="AN38" s="278">
        <f t="shared" ref="AN38" si="268">SUM($H$4*0.25)*AM38</f>
        <v>0</v>
      </c>
      <c r="AO38" s="284">
        <v>0.5</v>
      </c>
      <c r="AP38" s="280">
        <f t="shared" ref="AP38" si="269">SUM($H$4*0.3)*AO38</f>
        <v>2654.5499999999997</v>
      </c>
      <c r="AQ38" s="278"/>
      <c r="AR38" s="278">
        <f>SUM($H$4*0.2*AQ38)</f>
        <v>0</v>
      </c>
      <c r="AS38" s="283"/>
      <c r="AT38" s="278">
        <f>SUM($H$4*$H38*AS38/18)</f>
        <v>0</v>
      </c>
      <c r="AU38" s="283"/>
      <c r="AV38" s="278">
        <f>SUM($H$4*$H38*AU38/18)*0.7</f>
        <v>0</v>
      </c>
      <c r="AW38" s="286">
        <v>0</v>
      </c>
      <c r="AX38" s="278">
        <f>SUM($H$4*$H38*AW38/18)*0.3</f>
        <v>0</v>
      </c>
      <c r="AY38" s="283"/>
      <c r="AZ38" s="281">
        <f>SUM(($H$4*0.25)/18)*AY38</f>
        <v>0</v>
      </c>
      <c r="BA38" s="278"/>
      <c r="BB38" s="278">
        <f>SUM($H$4*0.2)*BA38</f>
        <v>0</v>
      </c>
      <c r="BC38" s="278"/>
      <c r="BD38" s="281">
        <f>((($H$4*BC38)/100)*20)/100</f>
        <v>0</v>
      </c>
      <c r="BE38" s="280">
        <f>SUM(U38*0.1)</f>
        <v>8733.4695000000011</v>
      </c>
      <c r="BF38" s="280">
        <f>AL38+AN38+AP38+AT38+AV38+AX38+AZ38+BB38+BD38+BE38+AR38</f>
        <v>13845.936166666666</v>
      </c>
      <c r="BG38" s="280">
        <f>X38+BF38</f>
        <v>123014.30491666668</v>
      </c>
      <c r="BH38" s="596">
        <f t="shared" ref="BH38" si="270">BG38*25%</f>
        <v>30753.576229166669</v>
      </c>
      <c r="BI38" s="220">
        <f>BG38*12</f>
        <v>1476171.659</v>
      </c>
      <c r="BJ38" s="71">
        <v>1</v>
      </c>
      <c r="BK38" s="429">
        <f t="shared" si="138"/>
        <v>93572.887500000012</v>
      </c>
    </row>
    <row r="39" spans="1:63">
      <c r="A39" s="7"/>
      <c r="B39" s="126" t="s">
        <v>101</v>
      </c>
      <c r="C39" s="213"/>
      <c r="D39" s="213"/>
      <c r="E39" s="219"/>
      <c r="F39" s="130"/>
      <c r="G39" s="220"/>
      <c r="H39" s="279"/>
      <c r="I39" s="370">
        <f>SUM(I25:I38)</f>
        <v>10.950000000000001</v>
      </c>
      <c r="J39" s="370">
        <f t="shared" ref="J39:BK39" si="271">SUM(J25:J38)</f>
        <v>0</v>
      </c>
      <c r="K39" s="370">
        <f t="shared" si="271"/>
        <v>2</v>
      </c>
      <c r="L39" s="370">
        <f t="shared" si="271"/>
        <v>65</v>
      </c>
      <c r="M39" s="370">
        <f t="shared" si="271"/>
        <v>139</v>
      </c>
      <c r="N39" s="370">
        <f t="shared" si="271"/>
        <v>0</v>
      </c>
      <c r="O39" s="370">
        <f t="shared" si="271"/>
        <v>206</v>
      </c>
      <c r="P39" s="370">
        <f t="shared" si="271"/>
        <v>0</v>
      </c>
      <c r="Q39" s="370">
        <f t="shared" si="271"/>
        <v>6105.4649999999992</v>
      </c>
      <c r="R39" s="370">
        <f t="shared" si="271"/>
        <v>284253.14666666667</v>
      </c>
      <c r="S39" s="370">
        <f t="shared" si="271"/>
        <v>591433.74</v>
      </c>
      <c r="T39" s="370">
        <f t="shared" si="271"/>
        <v>0</v>
      </c>
      <c r="U39" s="370">
        <f t="shared" si="271"/>
        <v>881792.3516666668</v>
      </c>
      <c r="V39" s="370">
        <f t="shared" si="271"/>
        <v>352</v>
      </c>
      <c r="W39" s="370">
        <f t="shared" si="271"/>
        <v>220879.20650000003</v>
      </c>
      <c r="X39" s="370">
        <f t="shared" si="271"/>
        <v>1102671.5581666664</v>
      </c>
      <c r="Y39" s="370">
        <f t="shared" si="271"/>
        <v>22</v>
      </c>
      <c r="Z39" s="370">
        <f t="shared" si="271"/>
        <v>5407.4166666666661</v>
      </c>
      <c r="AA39" s="370">
        <f t="shared" si="271"/>
        <v>20.5</v>
      </c>
      <c r="AB39" s="370">
        <f t="shared" si="271"/>
        <v>5038.7291666666661</v>
      </c>
      <c r="AC39" s="370">
        <f t="shared" si="271"/>
        <v>0</v>
      </c>
      <c r="AD39" s="370">
        <f t="shared" si="271"/>
        <v>0</v>
      </c>
      <c r="AE39" s="370">
        <f t="shared" si="271"/>
        <v>31</v>
      </c>
      <c r="AF39" s="370">
        <f t="shared" si="271"/>
        <v>6095.6333333333332</v>
      </c>
      <c r="AG39" s="370">
        <f t="shared" si="271"/>
        <v>12</v>
      </c>
      <c r="AH39" s="370">
        <f t="shared" si="271"/>
        <v>2359.6</v>
      </c>
      <c r="AI39" s="370">
        <f t="shared" si="271"/>
        <v>0</v>
      </c>
      <c r="AJ39" s="370">
        <f t="shared" si="271"/>
        <v>0</v>
      </c>
      <c r="AK39" s="370">
        <f t="shared" si="271"/>
        <v>85.5</v>
      </c>
      <c r="AL39" s="370">
        <f t="shared" si="271"/>
        <v>18901.379166666666</v>
      </c>
      <c r="AM39" s="370">
        <f t="shared" si="271"/>
        <v>1</v>
      </c>
      <c r="AN39" s="370">
        <f t="shared" si="271"/>
        <v>4424.25</v>
      </c>
      <c r="AO39" s="370">
        <f t="shared" si="271"/>
        <v>2</v>
      </c>
      <c r="AP39" s="370">
        <f t="shared" si="271"/>
        <v>10618.199999999999</v>
      </c>
      <c r="AQ39" s="370">
        <f t="shared" si="271"/>
        <v>0</v>
      </c>
      <c r="AR39" s="370">
        <f t="shared" si="271"/>
        <v>0</v>
      </c>
      <c r="AS39" s="370">
        <f t="shared" si="271"/>
        <v>0</v>
      </c>
      <c r="AT39" s="370">
        <f t="shared" si="271"/>
        <v>0</v>
      </c>
      <c r="AU39" s="370">
        <f t="shared" si="271"/>
        <v>0</v>
      </c>
      <c r="AV39" s="370">
        <f t="shared" si="271"/>
        <v>0</v>
      </c>
      <c r="AW39" s="370">
        <f t="shared" si="271"/>
        <v>0</v>
      </c>
      <c r="AX39" s="370">
        <f t="shared" si="271"/>
        <v>0</v>
      </c>
      <c r="AY39" s="370">
        <f t="shared" si="271"/>
        <v>0</v>
      </c>
      <c r="AZ39" s="370">
        <f t="shared" si="271"/>
        <v>0</v>
      </c>
      <c r="BA39" s="370">
        <f t="shared" si="271"/>
        <v>0</v>
      </c>
      <c r="BB39" s="370">
        <f t="shared" si="271"/>
        <v>0</v>
      </c>
      <c r="BC39" s="370">
        <f t="shared" si="271"/>
        <v>0</v>
      </c>
      <c r="BD39" s="370">
        <f t="shared" si="271"/>
        <v>0</v>
      </c>
      <c r="BE39" s="370">
        <f t="shared" si="271"/>
        <v>80116.285333333333</v>
      </c>
      <c r="BF39" s="370">
        <f t="shared" si="271"/>
        <v>114060.11450000001</v>
      </c>
      <c r="BG39" s="370">
        <f t="shared" si="271"/>
        <v>1216731.6726666666</v>
      </c>
      <c r="BH39" s="370">
        <f t="shared" si="271"/>
        <v>304182.91816666664</v>
      </c>
      <c r="BI39" s="370">
        <f t="shared" si="271"/>
        <v>14600780.072000001</v>
      </c>
      <c r="BJ39" s="370">
        <f t="shared" si="271"/>
        <v>9.7200000000000006</v>
      </c>
      <c r="BK39" s="370">
        <f t="shared" si="271"/>
        <v>934586.76371099986</v>
      </c>
    </row>
    <row r="40" spans="1:63" ht="31.5">
      <c r="A40" s="454">
        <v>12</v>
      </c>
      <c r="B40" s="456" t="s">
        <v>421</v>
      </c>
      <c r="C40" s="599" t="s">
        <v>422</v>
      </c>
      <c r="D40" s="212" t="s">
        <v>163</v>
      </c>
      <c r="E40" s="130" t="s">
        <v>431</v>
      </c>
      <c r="F40" s="212" t="s">
        <v>150</v>
      </c>
      <c r="G40" s="212">
        <v>28</v>
      </c>
      <c r="H40" s="380">
        <v>4.1900000000000004</v>
      </c>
      <c r="I40" s="281">
        <f t="shared" ref="I40:I41" si="272">ROUND((((J40+K40))/24)+(L40+M40+N40)/18,2)</f>
        <v>0.4</v>
      </c>
      <c r="J40" s="282"/>
      <c r="K40" s="281">
        <v>9.5</v>
      </c>
      <c r="L40" s="283"/>
      <c r="M40" s="283"/>
      <c r="N40" s="283"/>
      <c r="O40" s="282">
        <f t="shared" ref="O40:O41" si="273">SUM(J40:N40)</f>
        <v>9.5</v>
      </c>
      <c r="P40" s="278">
        <f t="shared" ref="P40:P41" si="274">SUM(($H$4*H40)/24)*J40</f>
        <v>0</v>
      </c>
      <c r="Q40" s="282">
        <f t="shared" ref="Q40:Q41" si="275">SUM(($H$4*H40)/24)*K40</f>
        <v>29351.211875000001</v>
      </c>
      <c r="R40" s="282">
        <f t="shared" ref="R40:R41" si="276">($H$4*H40)/18*L40</f>
        <v>0</v>
      </c>
      <c r="S40" s="280">
        <f t="shared" ref="S40:S41" si="277">($H$4*H40)*M40/18</f>
        <v>0</v>
      </c>
      <c r="T40" s="282">
        <f t="shared" ref="T40:T41" si="278">($H$4*H40)/18*N40</f>
        <v>0</v>
      </c>
      <c r="U40" s="280">
        <f t="shared" ref="U40:U41" si="279">SUM(P40:T40)</f>
        <v>29351.211875000001</v>
      </c>
      <c r="V40" s="283">
        <v>25</v>
      </c>
      <c r="W40" s="280">
        <f t="shared" ref="W40:W41" si="280">(U40*V40)/100</f>
        <v>7337.8029687500002</v>
      </c>
      <c r="X40" s="280">
        <f t="shared" ref="X40:X41" si="281">SUM(U40,W40)</f>
        <v>36689.014843750003</v>
      </c>
      <c r="Y40" s="283"/>
      <c r="Z40" s="282">
        <f>($H$4*0.25)*Y40/18</f>
        <v>0</v>
      </c>
      <c r="AA40" s="284"/>
      <c r="AB40" s="280">
        <f>SUM(($H$4*0.25)/18)*AA40</f>
        <v>0</v>
      </c>
      <c r="AC40" s="278"/>
      <c r="AD40" s="278">
        <f>SUM(($H$4*0.25)/18*AC40)</f>
        <v>0</v>
      </c>
      <c r="AE40" s="283"/>
      <c r="AF40" s="278">
        <f>SUM(($H$4*0.2)/18)*AE40</f>
        <v>0</v>
      </c>
      <c r="AG40" s="283"/>
      <c r="AH40" s="281">
        <f>SUM(($H$4*0.2)/18)*AG40</f>
        <v>0</v>
      </c>
      <c r="AI40" s="283"/>
      <c r="AJ40" s="281">
        <f t="shared" ref="AJ40:AJ41" si="282">SUM(($H$4*0.2)/18)*AI40</f>
        <v>0</v>
      </c>
      <c r="AK40" s="285">
        <f t="shared" ref="AK40:AK41" si="283">SUM(Y40,AA40,AC40,AE40,AG40,AI40)</f>
        <v>0</v>
      </c>
      <c r="AL40" s="280">
        <f t="shared" ref="AL40:AL41" si="284">SUM(Z40,AB40,AD40,AF40,AH40,AJ40)</f>
        <v>0</v>
      </c>
      <c r="AM40" s="283"/>
      <c r="AN40" s="278">
        <f t="shared" ref="AN40:AN41" si="285">SUM($H$4*0.25)*AM40</f>
        <v>0</v>
      </c>
      <c r="AO40" s="284">
        <v>0</v>
      </c>
      <c r="AP40" s="280">
        <f t="shared" ref="AP40:AP41" si="286">SUM($H$4*0.3)*AO40</f>
        <v>0</v>
      </c>
      <c r="AQ40" s="278"/>
      <c r="AR40" s="278">
        <f>SUM($H$4*0.2*AQ40)</f>
        <v>0</v>
      </c>
      <c r="AS40" s="283"/>
      <c r="AT40" s="278">
        <f>SUM($H$4*$H40*AS40/18)</f>
        <v>0</v>
      </c>
      <c r="AU40" s="283"/>
      <c r="AV40" s="278">
        <f>SUM($H$4*$H40*AU40/18)*0.7</f>
        <v>0</v>
      </c>
      <c r="AW40" s="286">
        <v>0</v>
      </c>
      <c r="AX40" s="278">
        <f>SUM($H$4*$H40*AW40/18)*0.3</f>
        <v>0</v>
      </c>
      <c r="AY40" s="283"/>
      <c r="AZ40" s="281">
        <f>SUM(($H$4*0.25)/18)*AY40</f>
        <v>0</v>
      </c>
      <c r="BA40" s="278"/>
      <c r="BB40" s="278">
        <f>SUM($H$4*0.2)*BA40</f>
        <v>0</v>
      </c>
      <c r="BC40" s="278"/>
      <c r="BD40" s="281">
        <f>((($H$4*BC40)/100)*20)/100</f>
        <v>0</v>
      </c>
      <c r="BE40" s="280">
        <f>SUM(U40*0.1)</f>
        <v>2935.1211875000004</v>
      </c>
      <c r="BF40" s="280">
        <f>AL40+AN40+AP40+AT40+AV40+AX40+AZ40+BB40+BD40+BE40+AR40</f>
        <v>2935.1211875000004</v>
      </c>
      <c r="BG40" s="280">
        <f>X40+BF40</f>
        <v>39624.136031250004</v>
      </c>
      <c r="BH40" s="596">
        <f t="shared" si="29"/>
        <v>9906.0340078125009</v>
      </c>
      <c r="BI40" s="220">
        <f>BG40*12</f>
        <v>475489.63237500004</v>
      </c>
      <c r="BJ40" s="71">
        <v>1</v>
      </c>
      <c r="BK40" s="429">
        <f>SUM(($H$4*H40)+(($H$4*H40*V40)/100))*BJ40</f>
        <v>92688.037500000006</v>
      </c>
    </row>
    <row r="41" spans="1:63" ht="31.5">
      <c r="A41" s="454">
        <v>13</v>
      </c>
      <c r="B41" s="456" t="s">
        <v>423</v>
      </c>
      <c r="C41" s="599" t="s">
        <v>222</v>
      </c>
      <c r="D41" s="212" t="s">
        <v>163</v>
      </c>
      <c r="E41" s="130" t="s">
        <v>431</v>
      </c>
      <c r="F41" s="212" t="s">
        <v>150</v>
      </c>
      <c r="G41" s="212">
        <v>1</v>
      </c>
      <c r="H41" s="380">
        <v>3.58</v>
      </c>
      <c r="I41" s="281">
        <f t="shared" si="272"/>
        <v>0.71</v>
      </c>
      <c r="J41" s="282"/>
      <c r="K41" s="281">
        <v>17</v>
      </c>
      <c r="L41" s="283"/>
      <c r="M41" s="283"/>
      <c r="N41" s="283"/>
      <c r="O41" s="282">
        <f t="shared" si="273"/>
        <v>17</v>
      </c>
      <c r="P41" s="278">
        <f t="shared" si="274"/>
        <v>0</v>
      </c>
      <c r="Q41" s="282">
        <f t="shared" si="275"/>
        <v>44876.642500000002</v>
      </c>
      <c r="R41" s="282">
        <f t="shared" si="276"/>
        <v>0</v>
      </c>
      <c r="S41" s="280">
        <f t="shared" si="277"/>
        <v>0</v>
      </c>
      <c r="T41" s="282">
        <f t="shared" si="278"/>
        <v>0</v>
      </c>
      <c r="U41" s="280">
        <f t="shared" si="279"/>
        <v>44876.642500000002</v>
      </c>
      <c r="V41" s="283">
        <v>25</v>
      </c>
      <c r="W41" s="280">
        <f t="shared" si="280"/>
        <v>11219.160625</v>
      </c>
      <c r="X41" s="280">
        <f t="shared" si="281"/>
        <v>56095.803125000006</v>
      </c>
      <c r="Y41" s="283"/>
      <c r="Z41" s="282">
        <f>($H$4*0.25)*Y41/18</f>
        <v>0</v>
      </c>
      <c r="AA41" s="284"/>
      <c r="AB41" s="280">
        <f>SUM(($H$4*0.25)/18)*AA41</f>
        <v>0</v>
      </c>
      <c r="AC41" s="278"/>
      <c r="AD41" s="278">
        <f>SUM(($H$4*0.25)/18*AC41)</f>
        <v>0</v>
      </c>
      <c r="AE41" s="283"/>
      <c r="AF41" s="278">
        <f>SUM(($H$4*0.2)/18)*AE41</f>
        <v>0</v>
      </c>
      <c r="AG41" s="283"/>
      <c r="AH41" s="281">
        <f>SUM(($H$4*0.2)/18)*AG41</f>
        <v>0</v>
      </c>
      <c r="AI41" s="283"/>
      <c r="AJ41" s="281">
        <f t="shared" si="282"/>
        <v>0</v>
      </c>
      <c r="AK41" s="285">
        <f t="shared" si="283"/>
        <v>0</v>
      </c>
      <c r="AL41" s="280">
        <f t="shared" si="284"/>
        <v>0</v>
      </c>
      <c r="AM41" s="283"/>
      <c r="AN41" s="278">
        <f t="shared" si="285"/>
        <v>0</v>
      </c>
      <c r="AO41" s="284">
        <v>0</v>
      </c>
      <c r="AP41" s="280">
        <f t="shared" si="286"/>
        <v>0</v>
      </c>
      <c r="AQ41" s="278"/>
      <c r="AR41" s="278">
        <f>SUM($H$4*0.2*AQ41)</f>
        <v>0</v>
      </c>
      <c r="AS41" s="283"/>
      <c r="AT41" s="278">
        <f>SUM($H$4*$H41*AS41/18)</f>
        <v>0</v>
      </c>
      <c r="AU41" s="283"/>
      <c r="AV41" s="278">
        <f>SUM($H$4*$H41*AU41/18)*0.7</f>
        <v>0</v>
      </c>
      <c r="AW41" s="286">
        <v>0</v>
      </c>
      <c r="AX41" s="278">
        <f>SUM($H$4*$H41*AW41/18)*0.3</f>
        <v>0</v>
      </c>
      <c r="AY41" s="283"/>
      <c r="AZ41" s="281">
        <f>SUM(($H$4*0.25)/18)*AY41</f>
        <v>0</v>
      </c>
      <c r="BA41" s="278"/>
      <c r="BB41" s="278">
        <f>SUM($H$4*0.2)*BA41</f>
        <v>0</v>
      </c>
      <c r="BC41" s="278"/>
      <c r="BD41" s="281">
        <f>((($H$4*BC41)/100)*20)/100</f>
        <v>0</v>
      </c>
      <c r="BE41" s="280">
        <f>SUM(U41*0.1)</f>
        <v>4487.6642500000007</v>
      </c>
      <c r="BF41" s="280">
        <f>AL41+AN41+AP41+AT41+AV41+AX41+AZ41+BB41+BD41+BE41+AR41</f>
        <v>4487.6642500000007</v>
      </c>
      <c r="BG41" s="280">
        <f>X41+BF41</f>
        <v>60583.467375000007</v>
      </c>
      <c r="BH41" s="596">
        <f t="shared" si="29"/>
        <v>15145.866843750002</v>
      </c>
      <c r="BI41" s="220">
        <f>BG41*12</f>
        <v>727001.60850000009</v>
      </c>
      <c r="BJ41" s="71">
        <v>1</v>
      </c>
      <c r="BK41" s="429">
        <f>SUM(($H$4*H41)+(($H$4*H41*V41)/100))*BJ41</f>
        <v>79194.074999999997</v>
      </c>
    </row>
    <row r="42" spans="1:63" ht="15.75" customHeight="1">
      <c r="A42" s="7"/>
      <c r="B42" s="126" t="s">
        <v>292</v>
      </c>
      <c r="C42" s="213"/>
      <c r="D42" s="213"/>
      <c r="E42" s="219"/>
      <c r="F42" s="130"/>
      <c r="G42" s="220"/>
      <c r="H42" s="279"/>
      <c r="I42" s="368">
        <f t="shared" ref="I42:BK42" si="287">SUM(I40:I41)</f>
        <v>1.1099999999999999</v>
      </c>
      <c r="J42" s="368">
        <f t="shared" si="287"/>
        <v>0</v>
      </c>
      <c r="K42" s="368">
        <f t="shared" si="287"/>
        <v>26.5</v>
      </c>
      <c r="L42" s="368">
        <f t="shared" si="287"/>
        <v>0</v>
      </c>
      <c r="M42" s="368">
        <f t="shared" si="287"/>
        <v>0</v>
      </c>
      <c r="N42" s="368">
        <f t="shared" si="287"/>
        <v>0</v>
      </c>
      <c r="O42" s="368">
        <f t="shared" si="287"/>
        <v>26.5</v>
      </c>
      <c r="P42" s="368">
        <f t="shared" si="287"/>
        <v>0</v>
      </c>
      <c r="Q42" s="368">
        <f t="shared" si="287"/>
        <v>74227.854374999995</v>
      </c>
      <c r="R42" s="368">
        <f t="shared" si="287"/>
        <v>0</v>
      </c>
      <c r="S42" s="368">
        <f t="shared" si="287"/>
        <v>0</v>
      </c>
      <c r="T42" s="368">
        <f t="shared" si="287"/>
        <v>0</v>
      </c>
      <c r="U42" s="368">
        <f t="shared" si="287"/>
        <v>74227.854374999995</v>
      </c>
      <c r="V42" s="368">
        <f t="shared" si="287"/>
        <v>50</v>
      </c>
      <c r="W42" s="368">
        <f t="shared" si="287"/>
        <v>18556.963593749999</v>
      </c>
      <c r="X42" s="368">
        <f t="shared" si="287"/>
        <v>92784.817968750009</v>
      </c>
      <c r="Y42" s="368">
        <f t="shared" si="287"/>
        <v>0</v>
      </c>
      <c r="Z42" s="368">
        <f t="shared" si="287"/>
        <v>0</v>
      </c>
      <c r="AA42" s="368">
        <f t="shared" si="287"/>
        <v>0</v>
      </c>
      <c r="AB42" s="368">
        <f t="shared" si="287"/>
        <v>0</v>
      </c>
      <c r="AC42" s="368">
        <f t="shared" si="287"/>
        <v>0</v>
      </c>
      <c r="AD42" s="368">
        <f t="shared" si="287"/>
        <v>0</v>
      </c>
      <c r="AE42" s="368">
        <f t="shared" si="287"/>
        <v>0</v>
      </c>
      <c r="AF42" s="368">
        <f t="shared" si="287"/>
        <v>0</v>
      </c>
      <c r="AG42" s="368">
        <f t="shared" si="287"/>
        <v>0</v>
      </c>
      <c r="AH42" s="368">
        <f t="shared" si="287"/>
        <v>0</v>
      </c>
      <c r="AI42" s="368">
        <f t="shared" si="287"/>
        <v>0</v>
      </c>
      <c r="AJ42" s="368">
        <f t="shared" si="287"/>
        <v>0</v>
      </c>
      <c r="AK42" s="368">
        <f t="shared" si="287"/>
        <v>0</v>
      </c>
      <c r="AL42" s="368">
        <f t="shared" si="287"/>
        <v>0</v>
      </c>
      <c r="AM42" s="368">
        <f t="shared" si="287"/>
        <v>0</v>
      </c>
      <c r="AN42" s="368">
        <f t="shared" si="287"/>
        <v>0</v>
      </c>
      <c r="AO42" s="368">
        <f t="shared" si="287"/>
        <v>0</v>
      </c>
      <c r="AP42" s="368">
        <f t="shared" si="287"/>
        <v>0</v>
      </c>
      <c r="AQ42" s="368">
        <f t="shared" si="287"/>
        <v>0</v>
      </c>
      <c r="AR42" s="368">
        <f t="shared" si="287"/>
        <v>0</v>
      </c>
      <c r="AS42" s="368">
        <f t="shared" si="287"/>
        <v>0</v>
      </c>
      <c r="AT42" s="368">
        <f t="shared" si="287"/>
        <v>0</v>
      </c>
      <c r="AU42" s="368">
        <f t="shared" si="287"/>
        <v>0</v>
      </c>
      <c r="AV42" s="368">
        <f t="shared" si="287"/>
        <v>0</v>
      </c>
      <c r="AW42" s="368">
        <f t="shared" si="287"/>
        <v>0</v>
      </c>
      <c r="AX42" s="368">
        <f t="shared" si="287"/>
        <v>0</v>
      </c>
      <c r="AY42" s="368">
        <f t="shared" si="287"/>
        <v>0</v>
      </c>
      <c r="AZ42" s="368">
        <f t="shared" si="287"/>
        <v>0</v>
      </c>
      <c r="BA42" s="368">
        <f t="shared" si="287"/>
        <v>0</v>
      </c>
      <c r="BB42" s="368">
        <f t="shared" si="287"/>
        <v>0</v>
      </c>
      <c r="BC42" s="368">
        <f t="shared" si="287"/>
        <v>0</v>
      </c>
      <c r="BD42" s="368">
        <f t="shared" si="287"/>
        <v>0</v>
      </c>
      <c r="BE42" s="368">
        <f t="shared" si="287"/>
        <v>7422.7854375000006</v>
      </c>
      <c r="BF42" s="368">
        <f t="shared" si="287"/>
        <v>7422.7854375000006</v>
      </c>
      <c r="BG42" s="368">
        <f t="shared" si="287"/>
        <v>100207.60340625001</v>
      </c>
      <c r="BH42" s="368">
        <f t="shared" si="287"/>
        <v>25051.900851562503</v>
      </c>
      <c r="BI42" s="368">
        <f t="shared" si="287"/>
        <v>1202491.2408750001</v>
      </c>
      <c r="BJ42" s="368">
        <f t="shared" si="287"/>
        <v>2</v>
      </c>
      <c r="BK42" s="368">
        <f t="shared" si="287"/>
        <v>171882.11249999999</v>
      </c>
    </row>
    <row r="43" spans="1:63" s="72" customFormat="1" ht="31.5">
      <c r="A43" s="4">
        <v>1</v>
      </c>
      <c r="B43" s="135" t="s">
        <v>156</v>
      </c>
      <c r="C43" s="212" t="s">
        <v>452</v>
      </c>
      <c r="D43" s="212" t="s">
        <v>152</v>
      </c>
      <c r="E43" s="130" t="s">
        <v>160</v>
      </c>
      <c r="F43" s="212">
        <v>1</v>
      </c>
      <c r="G43" s="212">
        <v>38.049999999999997</v>
      </c>
      <c r="H43" s="381">
        <v>4.3899999999999997</v>
      </c>
      <c r="I43" s="281">
        <f>ROUND((((J43+K43))/24)+(L43+M43+N43)/18,2)</f>
        <v>1.49</v>
      </c>
      <c r="J43" s="282"/>
      <c r="K43" s="282">
        <v>1</v>
      </c>
      <c r="L43" s="283">
        <v>21</v>
      </c>
      <c r="M43" s="283">
        <v>5</v>
      </c>
      <c r="N43" s="322"/>
      <c r="O43" s="282">
        <f>SUM(J43:N43)</f>
        <v>27</v>
      </c>
      <c r="P43" s="231">
        <f>SUM(($H$4*H43)/24)*J43</f>
        <v>0</v>
      </c>
      <c r="Q43" s="254">
        <f>SUM(($H$4*H43)/24)*K43</f>
        <v>3237.0762499999996</v>
      </c>
      <c r="R43" s="220">
        <f>($H$4*H43)/18*L43</f>
        <v>90638.13499999998</v>
      </c>
      <c r="S43" s="254">
        <f>($H$4*H43)*M43/18</f>
        <v>21580.508333333328</v>
      </c>
      <c r="T43" s="254">
        <f>($H$4*H43)/18*N43</f>
        <v>0</v>
      </c>
      <c r="U43" s="220">
        <f>SUM(P43:T43)</f>
        <v>115455.71958333331</v>
      </c>
      <c r="V43" s="229">
        <v>25</v>
      </c>
      <c r="W43" s="220">
        <f>(U43*V43)/100</f>
        <v>28863.929895833324</v>
      </c>
      <c r="X43" s="220">
        <f>SUM(U43,W43)</f>
        <v>144319.64947916663</v>
      </c>
      <c r="Y43" s="131"/>
      <c r="Z43" s="254">
        <f>($H$4*0.25)*Y43/18</f>
        <v>0</v>
      </c>
      <c r="AA43" s="131"/>
      <c r="AB43" s="231">
        <f>SUM(($H$4*0.25)/18)*AA43</f>
        <v>0</v>
      </c>
      <c r="AC43" s="131"/>
      <c r="AD43" s="231">
        <f>SUM(($H$4*0.25)/18*AC43)</f>
        <v>0</v>
      </c>
      <c r="AE43" s="131">
        <v>18</v>
      </c>
      <c r="AF43" s="220">
        <f>SUM(($H$4*0.2)/18)*AE43</f>
        <v>3539.3999999999996</v>
      </c>
      <c r="AG43" s="131"/>
      <c r="AH43" s="213">
        <f>SUM(($H$4*0.2)/18)*AG43</f>
        <v>0</v>
      </c>
      <c r="AI43" s="131"/>
      <c r="AJ43" s="213">
        <f>SUM(($H$4*0.2)/18)*AI43</f>
        <v>0</v>
      </c>
      <c r="AK43" s="255">
        <f>SUM(Y43,AA43,AC43,AE43,AG43,AI43)</f>
        <v>18</v>
      </c>
      <c r="AL43" s="220">
        <f>SUM(Z43,AB43,AD43,AF43,AH43,AJ43)</f>
        <v>3539.3999999999996</v>
      </c>
      <c r="AM43" s="131">
        <v>1</v>
      </c>
      <c r="AN43" s="220">
        <f>SUM($H$4*0.25)*AM43</f>
        <v>4424.25</v>
      </c>
      <c r="AO43" s="131"/>
      <c r="AP43" s="254">
        <f>SUM($H$4*0.3)*AO43</f>
        <v>0</v>
      </c>
      <c r="AQ43" s="131"/>
      <c r="AR43" s="231">
        <f>SUM($H$4*0.2*AQ43)</f>
        <v>0</v>
      </c>
      <c r="AS43" s="131"/>
      <c r="AT43" s="231">
        <f>SUM($H$4*$H43*AS43/18)</f>
        <v>0</v>
      </c>
      <c r="AU43" s="131"/>
      <c r="AV43" s="231">
        <f>SUM($H$4*$H43*AU43/18)*0.7</f>
        <v>0</v>
      </c>
      <c r="AW43" s="131"/>
      <c r="AX43" s="220">
        <f>SUM($H$4*$H43*AW43/18)*0.3</f>
        <v>0</v>
      </c>
      <c r="AY43" s="131"/>
      <c r="AZ43" s="213">
        <f>SUM(($H$4*0.25)/18)*AY43</f>
        <v>0</v>
      </c>
      <c r="BA43" s="131"/>
      <c r="BB43" s="231">
        <f>SUM($H$4*0.2)*BA43</f>
        <v>0</v>
      </c>
      <c r="BC43" s="131"/>
      <c r="BD43" s="213">
        <f>((($H$4*BC43)/100)*20)/100</f>
        <v>0</v>
      </c>
      <c r="BE43" s="220">
        <f>SUM(U43*0.1)</f>
        <v>11545.571958333332</v>
      </c>
      <c r="BF43" s="220">
        <f>AL43+AN43+AP43+AT43+AV43+AX43+AZ43+BB43+BD43+BE43+AR43</f>
        <v>19509.221958333332</v>
      </c>
      <c r="BG43" s="220">
        <f>X43+BF43</f>
        <v>163828.87143749997</v>
      </c>
      <c r="BH43" s="220">
        <f>BG43*12</f>
        <v>1965946.4572499995</v>
      </c>
      <c r="BI43" s="71">
        <v>1</v>
      </c>
      <c r="BJ43" s="429">
        <f>SUM(($H$4*H43)+(($H$4*H43*V43)/100))*BI43</f>
        <v>97112.287499999977</v>
      </c>
    </row>
    <row r="44" spans="1:63" s="72" customFormat="1">
      <c r="A44" s="132"/>
      <c r="B44" s="126" t="s">
        <v>159</v>
      </c>
      <c r="C44" s="131"/>
      <c r="D44" s="131"/>
      <c r="E44" s="131"/>
      <c r="F44" s="131"/>
      <c r="G44" s="131"/>
      <c r="H44" s="322"/>
      <c r="I44" s="370">
        <f>SUM(I43:I43)</f>
        <v>1.49</v>
      </c>
      <c r="J44" s="370">
        <f t="shared" ref="J44:BK44" si="288">SUM(J43:J43)</f>
        <v>0</v>
      </c>
      <c r="K44" s="370">
        <f t="shared" si="288"/>
        <v>1</v>
      </c>
      <c r="L44" s="370">
        <f t="shared" si="288"/>
        <v>21</v>
      </c>
      <c r="M44" s="370">
        <f t="shared" si="288"/>
        <v>5</v>
      </c>
      <c r="N44" s="370">
        <f t="shared" si="288"/>
        <v>0</v>
      </c>
      <c r="O44" s="370">
        <f t="shared" si="288"/>
        <v>27</v>
      </c>
      <c r="P44" s="370">
        <f t="shared" si="288"/>
        <v>0</v>
      </c>
      <c r="Q44" s="370">
        <f t="shared" si="288"/>
        <v>3237.0762499999996</v>
      </c>
      <c r="R44" s="370">
        <f t="shared" si="288"/>
        <v>90638.13499999998</v>
      </c>
      <c r="S44" s="370">
        <f t="shared" si="288"/>
        <v>21580.508333333328</v>
      </c>
      <c r="T44" s="370">
        <f t="shared" si="288"/>
        <v>0</v>
      </c>
      <c r="U44" s="370">
        <f t="shared" si="288"/>
        <v>115455.71958333331</v>
      </c>
      <c r="V44" s="370">
        <f t="shared" si="288"/>
        <v>25</v>
      </c>
      <c r="W44" s="370">
        <f t="shared" si="288"/>
        <v>28863.929895833324</v>
      </c>
      <c r="X44" s="370">
        <f t="shared" si="288"/>
        <v>144319.64947916663</v>
      </c>
      <c r="Y44" s="370">
        <f t="shared" si="288"/>
        <v>0</v>
      </c>
      <c r="Z44" s="370">
        <f t="shared" si="288"/>
        <v>0</v>
      </c>
      <c r="AA44" s="370">
        <f t="shared" si="288"/>
        <v>0</v>
      </c>
      <c r="AB44" s="370">
        <f t="shared" si="288"/>
        <v>0</v>
      </c>
      <c r="AC44" s="370">
        <f t="shared" si="288"/>
        <v>0</v>
      </c>
      <c r="AD44" s="370">
        <f t="shared" si="288"/>
        <v>0</v>
      </c>
      <c r="AE44" s="370">
        <f t="shared" si="288"/>
        <v>18</v>
      </c>
      <c r="AF44" s="370">
        <f t="shared" si="288"/>
        <v>3539.3999999999996</v>
      </c>
      <c r="AG44" s="370">
        <f t="shared" si="288"/>
        <v>0</v>
      </c>
      <c r="AH44" s="370">
        <f t="shared" si="288"/>
        <v>0</v>
      </c>
      <c r="AI44" s="370">
        <f t="shared" si="288"/>
        <v>0</v>
      </c>
      <c r="AJ44" s="370">
        <f t="shared" si="288"/>
        <v>0</v>
      </c>
      <c r="AK44" s="370">
        <f t="shared" si="288"/>
        <v>18</v>
      </c>
      <c r="AL44" s="370">
        <f t="shared" si="288"/>
        <v>3539.3999999999996</v>
      </c>
      <c r="AM44" s="370">
        <f t="shared" si="288"/>
        <v>1</v>
      </c>
      <c r="AN44" s="370">
        <f t="shared" si="288"/>
        <v>4424.25</v>
      </c>
      <c r="AO44" s="370">
        <f t="shared" si="288"/>
        <v>0</v>
      </c>
      <c r="AP44" s="370">
        <f t="shared" si="288"/>
        <v>0</v>
      </c>
      <c r="AQ44" s="370">
        <f t="shared" si="288"/>
        <v>0</v>
      </c>
      <c r="AR44" s="370">
        <f t="shared" si="288"/>
        <v>0</v>
      </c>
      <c r="AS44" s="370">
        <f t="shared" si="288"/>
        <v>0</v>
      </c>
      <c r="AT44" s="370">
        <f t="shared" si="288"/>
        <v>0</v>
      </c>
      <c r="AU44" s="370">
        <f t="shared" si="288"/>
        <v>0</v>
      </c>
      <c r="AV44" s="370">
        <f t="shared" si="288"/>
        <v>0</v>
      </c>
      <c r="AW44" s="370">
        <f t="shared" si="288"/>
        <v>0</v>
      </c>
      <c r="AX44" s="370">
        <f t="shared" si="288"/>
        <v>0</v>
      </c>
      <c r="AY44" s="370">
        <f t="shared" si="288"/>
        <v>0</v>
      </c>
      <c r="AZ44" s="370">
        <f t="shared" si="288"/>
        <v>0</v>
      </c>
      <c r="BA44" s="370">
        <f t="shared" si="288"/>
        <v>0</v>
      </c>
      <c r="BB44" s="370">
        <f t="shared" si="288"/>
        <v>0</v>
      </c>
      <c r="BC44" s="370">
        <f t="shared" si="288"/>
        <v>0</v>
      </c>
      <c r="BD44" s="370">
        <f t="shared" si="288"/>
        <v>0</v>
      </c>
      <c r="BE44" s="370">
        <f t="shared" si="288"/>
        <v>11545.571958333332</v>
      </c>
      <c r="BF44" s="370">
        <f t="shared" si="288"/>
        <v>19509.221958333332</v>
      </c>
      <c r="BG44" s="370">
        <f t="shared" si="288"/>
        <v>163828.87143749997</v>
      </c>
      <c r="BH44" s="370">
        <f t="shared" si="288"/>
        <v>1965946.4572499995</v>
      </c>
      <c r="BI44" s="370">
        <f t="shared" si="288"/>
        <v>1</v>
      </c>
      <c r="BJ44" s="370">
        <f t="shared" si="288"/>
        <v>97112.287499999977</v>
      </c>
      <c r="BK44" s="370">
        <f t="shared" si="288"/>
        <v>0</v>
      </c>
    </row>
    <row r="45" spans="1:63" s="72" customFormat="1" ht="31.5" customHeight="1">
      <c r="A45" s="691">
        <v>1</v>
      </c>
      <c r="B45" s="693" t="s">
        <v>158</v>
      </c>
      <c r="C45" s="212" t="s">
        <v>426</v>
      </c>
      <c r="D45" s="212" t="s">
        <v>152</v>
      </c>
      <c r="E45" s="219" t="s">
        <v>151</v>
      </c>
      <c r="F45" s="212">
        <v>2</v>
      </c>
      <c r="G45" s="212">
        <v>22.03</v>
      </c>
      <c r="H45" s="380">
        <v>4.22</v>
      </c>
      <c r="I45" s="281">
        <f>ROUND((((J45+K45))/24)+(L45+M45+N45)/18,2)</f>
        <v>1</v>
      </c>
      <c r="J45" s="282"/>
      <c r="K45" s="282"/>
      <c r="L45" s="601">
        <v>18</v>
      </c>
      <c r="M45" s="602"/>
      <c r="N45" s="602"/>
      <c r="O45" s="282">
        <f>SUM(J45:N45)</f>
        <v>18</v>
      </c>
      <c r="P45" s="231">
        <f>SUM(($H$4*H45)/24)*J45</f>
        <v>0</v>
      </c>
      <c r="Q45" s="254">
        <f>SUM(($H$4*H45)/24)*K45</f>
        <v>0</v>
      </c>
      <c r="R45" s="220">
        <f>($H$4*H45)/18*L45</f>
        <v>74681.34</v>
      </c>
      <c r="S45" s="254">
        <f>($H$4*H45)*M45/18</f>
        <v>0</v>
      </c>
      <c r="T45" s="254">
        <f>($H$4*H45)/18*N45</f>
        <v>0</v>
      </c>
      <c r="U45" s="220">
        <f>SUM(P45:T45)</f>
        <v>74681.34</v>
      </c>
      <c r="V45" s="229">
        <v>25</v>
      </c>
      <c r="W45" s="220">
        <f>(U45*V45)/100</f>
        <v>18670.334999999999</v>
      </c>
      <c r="X45" s="220">
        <f>SUM(U45,W45)</f>
        <v>93351.674999999988</v>
      </c>
      <c r="Y45" s="131"/>
      <c r="Z45" s="254">
        <f>($H$4*0.25)*Y45/18</f>
        <v>0</v>
      </c>
      <c r="AA45" s="131"/>
      <c r="AB45" s="231">
        <f>SUM(($H$4*0.25)/18)*AA45</f>
        <v>0</v>
      </c>
      <c r="AC45" s="131"/>
      <c r="AD45" s="231">
        <f>SUM(($H$4*0.25)/18*AC45)</f>
        <v>0</v>
      </c>
      <c r="AE45" s="131">
        <v>9</v>
      </c>
      <c r="AF45" s="220">
        <f>SUM(($H$4*0.2)/18)*AE45</f>
        <v>1769.6999999999998</v>
      </c>
      <c r="AG45" s="131"/>
      <c r="AH45" s="213">
        <f>SUM(($H$4*0.2)/18)*AG45</f>
        <v>0</v>
      </c>
      <c r="AI45" s="131"/>
      <c r="AJ45" s="213">
        <f>SUM(($H$4*0.2)/18)*AI45</f>
        <v>0</v>
      </c>
      <c r="AK45" s="255">
        <f>SUM(Y45,AA45,AC45,AE45,AG45,AI45)</f>
        <v>9</v>
      </c>
      <c r="AL45" s="231">
        <f>SUM(Z45,AB45,AD45,AF45,AH45,AJ45)</f>
        <v>1769.6999999999998</v>
      </c>
      <c r="AM45" s="131">
        <v>0.5</v>
      </c>
      <c r="AN45" s="220">
        <f>SUM($H$4*0.25)*AM45</f>
        <v>2212.125</v>
      </c>
      <c r="AO45" s="131"/>
      <c r="AP45" s="254">
        <f>SUM($H$4*0.3)*AO45</f>
        <v>0</v>
      </c>
      <c r="AQ45" s="131"/>
      <c r="AR45" s="231">
        <f>SUM($H$4*0.2*AQ45)</f>
        <v>0</v>
      </c>
      <c r="AS45" s="131"/>
      <c r="AT45" s="231">
        <f>SUM($H$4*$H45*AS45/18)</f>
        <v>0</v>
      </c>
      <c r="AU45" s="131"/>
      <c r="AV45" s="231">
        <f>SUM($H$4*$H45*AU45/18)*0.7</f>
        <v>0</v>
      </c>
      <c r="AW45" s="131"/>
      <c r="AX45" s="231">
        <f>SUM($H$4*$H45*AW45/18)*0.3</f>
        <v>0</v>
      </c>
      <c r="AY45" s="131"/>
      <c r="AZ45" s="213">
        <f>SUM(($H$4*0.25)/18)*AY45</f>
        <v>0</v>
      </c>
      <c r="BA45" s="131"/>
      <c r="BB45" s="231">
        <f>SUM($H$4*0.2)*BA45</f>
        <v>0</v>
      </c>
      <c r="BC45" s="131"/>
      <c r="BD45" s="213">
        <f>((($H$4*BC45)/100)*20)/100</f>
        <v>0</v>
      </c>
      <c r="BE45" s="220">
        <f>SUM(U45*0.1)</f>
        <v>7468.134</v>
      </c>
      <c r="BF45" s="220">
        <f>AL45+AN45+AP45+AT45+AV45+AX45+AZ45+BB45+BD45+BE45+AR45</f>
        <v>11449.958999999999</v>
      </c>
      <c r="BG45" s="220">
        <f>X45+BF45</f>
        <v>104801.63399999999</v>
      </c>
      <c r="BH45" s="596">
        <f t="shared" si="29"/>
        <v>26200.408499999998</v>
      </c>
      <c r="BI45" s="220">
        <f>BG45*12</f>
        <v>1257619.608</v>
      </c>
      <c r="BJ45" s="71">
        <v>1</v>
      </c>
      <c r="BK45" s="429">
        <f>SUM(($H$4*H45)+(($H$4*H45*V45)/100))*BJ45</f>
        <v>93351.674999999988</v>
      </c>
    </row>
    <row r="46" spans="1:63" s="72" customFormat="1">
      <c r="A46" s="692"/>
      <c r="B46" s="694"/>
      <c r="C46" s="412" t="s">
        <v>285</v>
      </c>
      <c r="D46" s="212" t="s">
        <v>152</v>
      </c>
      <c r="E46" s="219" t="s">
        <v>151</v>
      </c>
      <c r="F46" s="212">
        <v>2</v>
      </c>
      <c r="G46" s="212">
        <v>22.03</v>
      </c>
      <c r="H46" s="380">
        <v>4.22</v>
      </c>
      <c r="I46" s="281">
        <f>ROUND((((J46+K46))/24)+(L46+M46+N46)/18,2)</f>
        <v>0.11</v>
      </c>
      <c r="J46" s="282"/>
      <c r="K46" s="282"/>
      <c r="L46" s="601">
        <v>2</v>
      </c>
      <c r="M46" s="602"/>
      <c r="N46" s="602"/>
      <c r="O46" s="282">
        <f>SUM(J46:N46)</f>
        <v>2</v>
      </c>
      <c r="P46" s="231">
        <f>SUM(($H$4*H46)/24)*J46</f>
        <v>0</v>
      </c>
      <c r="Q46" s="254">
        <f>SUM(($H$4*H46)/24)*K46</f>
        <v>0</v>
      </c>
      <c r="R46" s="220">
        <f>($H$4*H46)/18*L46</f>
        <v>8297.9266666666663</v>
      </c>
      <c r="S46" s="254">
        <f>($H$4*H46)*M46/18</f>
        <v>0</v>
      </c>
      <c r="T46" s="254">
        <f>($H$4*H46)/18*N46</f>
        <v>0</v>
      </c>
      <c r="U46" s="220">
        <f>SUM(P46:T46)</f>
        <v>8297.9266666666663</v>
      </c>
      <c r="V46" s="229">
        <v>26</v>
      </c>
      <c r="W46" s="220">
        <f>(U46*V46)/100</f>
        <v>2157.4609333333333</v>
      </c>
      <c r="X46" s="220">
        <f>SUM(U46,W46)</f>
        <v>10455.3876</v>
      </c>
      <c r="Y46" s="131"/>
      <c r="Z46" s="254">
        <f>($H$4*0.25)*Y46/18</f>
        <v>0</v>
      </c>
      <c r="AA46" s="131"/>
      <c r="AB46" s="231">
        <f>SUM(($H$4*0.25)/18)*AA46</f>
        <v>0</v>
      </c>
      <c r="AC46" s="131"/>
      <c r="AD46" s="231">
        <f>SUM(($H$4*0.25)/18*AC46)</f>
        <v>0</v>
      </c>
      <c r="AE46" s="131"/>
      <c r="AF46" s="220">
        <f>SUM(($H$4*0.2)/18)*AE46</f>
        <v>0</v>
      </c>
      <c r="AG46" s="131"/>
      <c r="AH46" s="213">
        <f>SUM(($H$4*0.2)/18)*AG46</f>
        <v>0</v>
      </c>
      <c r="AI46" s="131"/>
      <c r="AJ46" s="213">
        <f>SUM(($H$4*0.2)/18)*AI46</f>
        <v>0</v>
      </c>
      <c r="AK46" s="255">
        <f>SUM(Y46,AA46,AC46,AE46,AG46,AI46)</f>
        <v>0</v>
      </c>
      <c r="AL46" s="231">
        <f>SUM(Z46,AB46,AD46,AF46,AH46,AJ46)</f>
        <v>0</v>
      </c>
      <c r="AM46" s="131"/>
      <c r="AN46" s="220">
        <f>SUM($H$4*0.25)*AM46</f>
        <v>0</v>
      </c>
      <c r="AO46" s="131"/>
      <c r="AP46" s="254">
        <f>SUM($H$4*0.3)*AO46</f>
        <v>0</v>
      </c>
      <c r="AQ46" s="131"/>
      <c r="AR46" s="231">
        <f>SUM($H$4*0.2*AQ46)</f>
        <v>0</v>
      </c>
      <c r="AS46" s="131"/>
      <c r="AT46" s="231">
        <f>SUM($H$4*$H46*AS46/18)</f>
        <v>0</v>
      </c>
      <c r="AU46" s="131"/>
      <c r="AV46" s="231">
        <f>SUM($H$4*$H46*AU46/18)*0.7</f>
        <v>0</v>
      </c>
      <c r="AW46" s="131"/>
      <c r="AX46" s="231">
        <f>SUM($H$4*$H46*AW46/18)*0.3</f>
        <v>0</v>
      </c>
      <c r="AY46" s="131"/>
      <c r="AZ46" s="213">
        <f>SUM(($H$4*0.25)/18)*AY46</f>
        <v>0</v>
      </c>
      <c r="BA46" s="131"/>
      <c r="BB46" s="231">
        <f>SUM($H$4*0.2)*BA46</f>
        <v>0</v>
      </c>
      <c r="BC46" s="131"/>
      <c r="BD46" s="213">
        <f>((($H$4*BC46)/100)*20)/100</f>
        <v>0</v>
      </c>
      <c r="BE46" s="220">
        <f>SUM(U46*0.1)</f>
        <v>829.79266666666672</v>
      </c>
      <c r="BF46" s="220">
        <f>AL46+AN46+AP46+AT46+AV46+AX46+AZ46+BB46+BD46+BE46+AR46</f>
        <v>829.79266666666672</v>
      </c>
      <c r="BG46" s="220">
        <f>X46+BF46</f>
        <v>11285.180266666666</v>
      </c>
      <c r="BH46" s="596">
        <f t="shared" si="29"/>
        <v>2821.2950666666666</v>
      </c>
      <c r="BI46" s="220">
        <f>BG46*12</f>
        <v>135422.16320000001</v>
      </c>
      <c r="BJ46" s="71">
        <v>2</v>
      </c>
      <c r="BK46" s="429">
        <f>SUM(($H$4*H46)+(($H$4*H46*V46)/100))*BJ46</f>
        <v>188196.9768</v>
      </c>
    </row>
    <row r="47" spans="1:63">
      <c r="A47" s="7"/>
      <c r="B47" s="126" t="s">
        <v>157</v>
      </c>
      <c r="C47" s="213"/>
      <c r="D47" s="213"/>
      <c r="E47" s="131"/>
      <c r="F47" s="130"/>
      <c r="G47" s="131"/>
      <c r="H47" s="279"/>
      <c r="I47" s="258">
        <f t="shared" ref="I47:BK47" si="289">SUM(I45:I46)</f>
        <v>1.1100000000000001</v>
      </c>
      <c r="J47" s="258">
        <f t="shared" si="289"/>
        <v>0</v>
      </c>
      <c r="K47" s="258">
        <f t="shared" si="289"/>
        <v>0</v>
      </c>
      <c r="L47" s="258">
        <f t="shared" si="289"/>
        <v>20</v>
      </c>
      <c r="M47" s="258">
        <f t="shared" si="289"/>
        <v>0</v>
      </c>
      <c r="N47" s="258">
        <f t="shared" si="289"/>
        <v>0</v>
      </c>
      <c r="O47" s="258">
        <f t="shared" si="289"/>
        <v>20</v>
      </c>
      <c r="P47" s="258">
        <f t="shared" si="289"/>
        <v>0</v>
      </c>
      <c r="Q47" s="258">
        <f t="shared" si="289"/>
        <v>0</v>
      </c>
      <c r="R47" s="258">
        <f t="shared" si="289"/>
        <v>82979.266666666663</v>
      </c>
      <c r="S47" s="258">
        <f t="shared" si="289"/>
        <v>0</v>
      </c>
      <c r="T47" s="258">
        <f t="shared" si="289"/>
        <v>0</v>
      </c>
      <c r="U47" s="258">
        <f t="shared" si="289"/>
        <v>82979.266666666663</v>
      </c>
      <c r="V47" s="258">
        <f t="shared" si="289"/>
        <v>51</v>
      </c>
      <c r="W47" s="258">
        <f t="shared" si="289"/>
        <v>20827.795933333331</v>
      </c>
      <c r="X47" s="258">
        <f t="shared" si="289"/>
        <v>103807.06259999999</v>
      </c>
      <c r="Y47" s="258">
        <f t="shared" si="289"/>
        <v>0</v>
      </c>
      <c r="Z47" s="258">
        <f t="shared" si="289"/>
        <v>0</v>
      </c>
      <c r="AA47" s="258">
        <f t="shared" si="289"/>
        <v>0</v>
      </c>
      <c r="AB47" s="258">
        <f t="shared" si="289"/>
        <v>0</v>
      </c>
      <c r="AC47" s="258">
        <f t="shared" si="289"/>
        <v>0</v>
      </c>
      <c r="AD47" s="258">
        <f t="shared" si="289"/>
        <v>0</v>
      </c>
      <c r="AE47" s="258">
        <f t="shared" si="289"/>
        <v>9</v>
      </c>
      <c r="AF47" s="258">
        <f t="shared" si="289"/>
        <v>1769.6999999999998</v>
      </c>
      <c r="AG47" s="258">
        <f t="shared" si="289"/>
        <v>0</v>
      </c>
      <c r="AH47" s="258">
        <f t="shared" si="289"/>
        <v>0</v>
      </c>
      <c r="AI47" s="258">
        <f t="shared" si="289"/>
        <v>0</v>
      </c>
      <c r="AJ47" s="258">
        <f t="shared" si="289"/>
        <v>0</v>
      </c>
      <c r="AK47" s="258">
        <f t="shared" si="289"/>
        <v>9</v>
      </c>
      <c r="AL47" s="258">
        <f t="shared" si="289"/>
        <v>1769.6999999999998</v>
      </c>
      <c r="AM47" s="258">
        <f t="shared" si="289"/>
        <v>0.5</v>
      </c>
      <c r="AN47" s="258">
        <f t="shared" si="289"/>
        <v>2212.125</v>
      </c>
      <c r="AO47" s="258">
        <f t="shared" si="289"/>
        <v>0</v>
      </c>
      <c r="AP47" s="258">
        <f t="shared" si="289"/>
        <v>0</v>
      </c>
      <c r="AQ47" s="258">
        <f t="shared" si="289"/>
        <v>0</v>
      </c>
      <c r="AR47" s="258">
        <f t="shared" si="289"/>
        <v>0</v>
      </c>
      <c r="AS47" s="258">
        <f t="shared" si="289"/>
        <v>0</v>
      </c>
      <c r="AT47" s="258">
        <f t="shared" si="289"/>
        <v>0</v>
      </c>
      <c r="AU47" s="258">
        <f t="shared" si="289"/>
        <v>0</v>
      </c>
      <c r="AV47" s="258">
        <f t="shared" si="289"/>
        <v>0</v>
      </c>
      <c r="AW47" s="258">
        <f t="shared" si="289"/>
        <v>0</v>
      </c>
      <c r="AX47" s="258">
        <f t="shared" si="289"/>
        <v>0</v>
      </c>
      <c r="AY47" s="258">
        <f t="shared" si="289"/>
        <v>0</v>
      </c>
      <c r="AZ47" s="258">
        <f t="shared" si="289"/>
        <v>0</v>
      </c>
      <c r="BA47" s="258">
        <f t="shared" si="289"/>
        <v>0</v>
      </c>
      <c r="BB47" s="258">
        <f t="shared" si="289"/>
        <v>0</v>
      </c>
      <c r="BC47" s="258">
        <f t="shared" si="289"/>
        <v>0</v>
      </c>
      <c r="BD47" s="258">
        <f t="shared" si="289"/>
        <v>0</v>
      </c>
      <c r="BE47" s="258">
        <f t="shared" si="289"/>
        <v>8297.9266666666663</v>
      </c>
      <c r="BF47" s="258">
        <f t="shared" si="289"/>
        <v>12279.751666666665</v>
      </c>
      <c r="BG47" s="258">
        <f t="shared" si="289"/>
        <v>116086.81426666665</v>
      </c>
      <c r="BH47" s="258">
        <f t="shared" si="289"/>
        <v>29021.703566666663</v>
      </c>
      <c r="BI47" s="258">
        <f t="shared" si="289"/>
        <v>1393041.7712000001</v>
      </c>
      <c r="BJ47" s="258">
        <f t="shared" si="289"/>
        <v>3</v>
      </c>
      <c r="BK47" s="258">
        <f t="shared" si="289"/>
        <v>281548.65179999999</v>
      </c>
    </row>
    <row r="48" spans="1:63" ht="31.5">
      <c r="A48" s="4">
        <v>1</v>
      </c>
      <c r="B48" s="135" t="s">
        <v>289</v>
      </c>
      <c r="C48" s="212" t="s">
        <v>427</v>
      </c>
      <c r="D48" s="212" t="s">
        <v>152</v>
      </c>
      <c r="E48" s="219" t="s">
        <v>154</v>
      </c>
      <c r="F48" s="212" t="s">
        <v>150</v>
      </c>
      <c r="G48" s="212">
        <v>5.01</v>
      </c>
      <c r="H48" s="381">
        <v>3.49</v>
      </c>
      <c r="I48" s="281">
        <f t="shared" ref="I48:I49" si="290">ROUND((((J48+K48))/24)+(L48+M48+N48)/18,2)</f>
        <v>1.17</v>
      </c>
      <c r="J48" s="282"/>
      <c r="K48" s="282"/>
      <c r="L48" s="283">
        <v>21</v>
      </c>
      <c r="M48" s="322"/>
      <c r="N48" s="322"/>
      <c r="O48" s="282">
        <f t="shared" ref="O48:O49" si="291">SUM(J48:N48)</f>
        <v>21</v>
      </c>
      <c r="P48" s="231">
        <f t="shared" ref="P48:P49" si="292">SUM(($H$4*H48)/24)*J48</f>
        <v>0</v>
      </c>
      <c r="Q48" s="254">
        <f t="shared" ref="Q48:Q49" si="293">SUM(($H$4*H48)/24)*K48</f>
        <v>0</v>
      </c>
      <c r="R48" s="220">
        <f t="shared" ref="R48:R49" si="294">($H$4*H48)/18*L48</f>
        <v>72056.285000000003</v>
      </c>
      <c r="S48" s="254">
        <f t="shared" ref="S48:S49" si="295">($H$4*H48)*M48/18</f>
        <v>0</v>
      </c>
      <c r="T48" s="254">
        <f t="shared" ref="T48:T49" si="296">($H$4*H48)/18*N48</f>
        <v>0</v>
      </c>
      <c r="U48" s="220">
        <f t="shared" ref="U48:U49" si="297">SUM(P48:T48)</f>
        <v>72056.285000000003</v>
      </c>
      <c r="V48" s="229">
        <v>25</v>
      </c>
      <c r="W48" s="220">
        <f t="shared" ref="W48:W49" si="298">(U48*V48)/100</f>
        <v>18014.071250000001</v>
      </c>
      <c r="X48" s="220">
        <f t="shared" ref="X48:X49" si="299">SUM(U48,W48)</f>
        <v>90070.356250000012</v>
      </c>
      <c r="Y48" s="131"/>
      <c r="Z48" s="254">
        <f>($H$4*0.25)*Y48/18</f>
        <v>0</v>
      </c>
      <c r="AA48" s="131"/>
      <c r="AB48" s="231">
        <f>SUM(($H$4*0.25)/18)*AA48</f>
        <v>0</v>
      </c>
      <c r="AC48" s="131"/>
      <c r="AD48" s="231">
        <f>SUM(($H$4*0.25)/18*AC48)</f>
        <v>0</v>
      </c>
      <c r="AE48" s="131">
        <v>18</v>
      </c>
      <c r="AF48" s="220">
        <f>SUM(($H$4*0.2)/18)*AE48</f>
        <v>3539.3999999999996</v>
      </c>
      <c r="AG48" s="131"/>
      <c r="AH48" s="213">
        <f>SUM(($H$4*0.2)/18)*AG48</f>
        <v>0</v>
      </c>
      <c r="AI48" s="131"/>
      <c r="AJ48" s="213">
        <f t="shared" ref="AJ48:AJ49" si="300">SUM(($H$4*0.2)/18)*AI48</f>
        <v>0</v>
      </c>
      <c r="AK48" s="255">
        <f t="shared" ref="AK48:AK49" si="301">SUM(Y48,AA48,AC48,AE48,AG48,AI48)</f>
        <v>18</v>
      </c>
      <c r="AL48" s="220">
        <f t="shared" ref="AL48:AL49" si="302">SUM(Z48,AB48,AD48,AF48,AH48,AJ48)</f>
        <v>3539.3999999999996</v>
      </c>
      <c r="AM48" s="131">
        <v>1</v>
      </c>
      <c r="AN48" s="220">
        <f t="shared" ref="AN48:AN49" si="303">SUM($H$4*0.25)*AM48</f>
        <v>4424.25</v>
      </c>
      <c r="AO48" s="131"/>
      <c r="AP48" s="254">
        <f t="shared" ref="AP48:AP49" si="304">SUM($H$4*0.3)*AO48</f>
        <v>0</v>
      </c>
      <c r="AQ48" s="131"/>
      <c r="AR48" s="231">
        <f>SUM($H$4*0.2*AQ48)</f>
        <v>0</v>
      </c>
      <c r="AS48" s="131"/>
      <c r="AT48" s="231">
        <f>SUM($H$4*$H48*AS48/18)</f>
        <v>0</v>
      </c>
      <c r="AU48" s="131"/>
      <c r="AV48" s="231">
        <f>SUM($H$4*$H48*AU48/18)*0.7</f>
        <v>0</v>
      </c>
      <c r="AW48" s="131"/>
      <c r="AX48" s="231">
        <f>SUM($H$4*$H48*AW48/18)*0.3</f>
        <v>0</v>
      </c>
      <c r="AY48" s="131"/>
      <c r="AZ48" s="213">
        <f>SUM(($H$4*0.25)/18)*AY48</f>
        <v>0</v>
      </c>
      <c r="BA48" s="131"/>
      <c r="BB48" s="231">
        <f>SUM($H$4*0.2)*BA48</f>
        <v>0</v>
      </c>
      <c r="BC48" s="131"/>
      <c r="BD48" s="213">
        <f>((($H$4*BC48)/100)*20)/100</f>
        <v>0</v>
      </c>
      <c r="BE48" s="220">
        <f>SUM(U48*0.1)</f>
        <v>7205.6285000000007</v>
      </c>
      <c r="BF48" s="220">
        <f>AL48+AN48+AP48+AT48+AV48+AX48+AZ48+BB48+BD48+BE48+AR48</f>
        <v>15169.2785</v>
      </c>
      <c r="BG48" s="220">
        <f>X48+BF48</f>
        <v>105239.63475000001</v>
      </c>
      <c r="BH48" s="596">
        <f t="shared" si="29"/>
        <v>26309.908687500003</v>
      </c>
      <c r="BI48" s="220">
        <f>BG48*12</f>
        <v>1262875.6170000001</v>
      </c>
      <c r="BJ48" s="71">
        <v>1</v>
      </c>
      <c r="BK48" s="429">
        <f>SUM(($H$4*H48)+(($H$4*H48*V48)/100))*BJ48</f>
        <v>77203.162500000006</v>
      </c>
    </row>
    <row r="49" spans="1:63" s="287" customFormat="1" ht="31.5">
      <c r="A49" s="276">
        <v>2</v>
      </c>
      <c r="B49" s="290" t="s">
        <v>429</v>
      </c>
      <c r="C49" s="278" t="s">
        <v>430</v>
      </c>
      <c r="D49" s="278" t="s">
        <v>343</v>
      </c>
      <c r="E49" s="289" t="s">
        <v>154</v>
      </c>
      <c r="F49" s="278" t="s">
        <v>150</v>
      </c>
      <c r="G49" s="278">
        <v>4.09</v>
      </c>
      <c r="H49" s="380">
        <v>3.45</v>
      </c>
      <c r="I49" s="281">
        <f t="shared" si="290"/>
        <v>1.06</v>
      </c>
      <c r="J49" s="282"/>
      <c r="K49" s="281"/>
      <c r="L49" s="283">
        <v>19</v>
      </c>
      <c r="M49" s="283"/>
      <c r="N49" s="283"/>
      <c r="O49" s="282">
        <f t="shared" si="291"/>
        <v>19</v>
      </c>
      <c r="P49" s="278">
        <f t="shared" si="292"/>
        <v>0</v>
      </c>
      <c r="Q49" s="282">
        <f t="shared" si="293"/>
        <v>0</v>
      </c>
      <c r="R49" s="282">
        <f t="shared" si="294"/>
        <v>64446.575000000004</v>
      </c>
      <c r="S49" s="280">
        <f t="shared" si="295"/>
        <v>0</v>
      </c>
      <c r="T49" s="282">
        <f t="shared" si="296"/>
        <v>0</v>
      </c>
      <c r="U49" s="280">
        <f t="shared" si="297"/>
        <v>64446.575000000004</v>
      </c>
      <c r="V49" s="283">
        <v>25</v>
      </c>
      <c r="W49" s="280">
        <f t="shared" si="298"/>
        <v>16111.643749999999</v>
      </c>
      <c r="X49" s="280">
        <f t="shared" si="299"/>
        <v>80558.21875</v>
      </c>
      <c r="Y49" s="283"/>
      <c r="Z49" s="282">
        <f>($H$4*0.25)*Y49/18</f>
        <v>0</v>
      </c>
      <c r="AA49" s="284"/>
      <c r="AB49" s="280">
        <f>SUM(($H$4*0.25)/18)*AA49</f>
        <v>0</v>
      </c>
      <c r="AC49" s="278"/>
      <c r="AD49" s="278">
        <f>SUM(($H$4*0.25)/18*AC49)</f>
        <v>0</v>
      </c>
      <c r="AE49" s="283">
        <v>9</v>
      </c>
      <c r="AF49" s="278">
        <f>SUM(($H$4*0.2)/18)*AE49</f>
        <v>1769.6999999999998</v>
      </c>
      <c r="AG49" s="283"/>
      <c r="AH49" s="281">
        <f>SUM(($H$4*0.2)/18)*AG49</f>
        <v>0</v>
      </c>
      <c r="AI49" s="283"/>
      <c r="AJ49" s="281">
        <f t="shared" si="300"/>
        <v>0</v>
      </c>
      <c r="AK49" s="285">
        <f t="shared" si="301"/>
        <v>9</v>
      </c>
      <c r="AL49" s="280">
        <f t="shared" si="302"/>
        <v>1769.6999999999998</v>
      </c>
      <c r="AM49" s="283">
        <v>0.5</v>
      </c>
      <c r="AN49" s="278">
        <f t="shared" si="303"/>
        <v>2212.125</v>
      </c>
      <c r="AO49" s="284"/>
      <c r="AP49" s="280">
        <f t="shared" si="304"/>
        <v>0</v>
      </c>
      <c r="AQ49" s="278"/>
      <c r="AR49" s="278">
        <f>SUM($H$4*0.2*AQ49)</f>
        <v>0</v>
      </c>
      <c r="AS49" s="283"/>
      <c r="AT49" s="278">
        <f>SUM($H$4*$H49*AS49/18)</f>
        <v>0</v>
      </c>
      <c r="AU49" s="283"/>
      <c r="AV49" s="278">
        <f>SUM($H$4*$H49*AU49/18)*0.7</f>
        <v>0</v>
      </c>
      <c r="AW49" s="286">
        <v>0</v>
      </c>
      <c r="AX49" s="278">
        <f>SUM($H$4*$H49*AW49/18)*0.3</f>
        <v>0</v>
      </c>
      <c r="AY49" s="283"/>
      <c r="AZ49" s="281">
        <f>SUM(($H$4*0.25)/18)*AY49</f>
        <v>0</v>
      </c>
      <c r="BA49" s="278"/>
      <c r="BB49" s="278">
        <f>SUM($H$4*0.2)*BA49</f>
        <v>0</v>
      </c>
      <c r="BC49" s="278"/>
      <c r="BD49" s="281">
        <f>((($H$4*BC49)/100)*20)/100</f>
        <v>0</v>
      </c>
      <c r="BE49" s="280">
        <f>SUM(U49*0.1)</f>
        <v>6444.6575000000012</v>
      </c>
      <c r="BF49" s="280">
        <f>AL49+AN49+AP49+AT49+AV49+AX49+AZ49+BB49+BD49+BE49+AR49</f>
        <v>10426.482500000002</v>
      </c>
      <c r="BG49" s="280">
        <f>X49+BF49</f>
        <v>90984.701249999998</v>
      </c>
      <c r="BH49" s="596">
        <f t="shared" si="29"/>
        <v>22746.1753125</v>
      </c>
      <c r="BI49" s="220">
        <f>BG49*12</f>
        <v>1091816.415</v>
      </c>
      <c r="BJ49" s="71">
        <v>1</v>
      </c>
      <c r="BK49" s="429">
        <f>SUM(($H$4*H49)+(($H$4*H49*V49)/100))*BJ49</f>
        <v>76318.3125</v>
      </c>
    </row>
    <row r="50" spans="1:63" s="72" customFormat="1">
      <c r="A50" s="71"/>
      <c r="B50" s="126" t="s">
        <v>102</v>
      </c>
      <c r="C50" s="131"/>
      <c r="D50" s="131"/>
      <c r="E50" s="131"/>
      <c r="F50" s="131"/>
      <c r="G50" s="131"/>
      <c r="H50" s="279"/>
      <c r="I50" s="223">
        <f>SUM(I48:I49)</f>
        <v>2.23</v>
      </c>
      <c r="J50" s="223">
        <f t="shared" ref="J50:BK50" si="305">SUM(J48:J49)</f>
        <v>0</v>
      </c>
      <c r="K50" s="223">
        <f t="shared" si="305"/>
        <v>0</v>
      </c>
      <c r="L50" s="223">
        <f t="shared" si="305"/>
        <v>40</v>
      </c>
      <c r="M50" s="223">
        <f t="shared" si="305"/>
        <v>0</v>
      </c>
      <c r="N50" s="223">
        <f t="shared" si="305"/>
        <v>0</v>
      </c>
      <c r="O50" s="223">
        <f t="shared" si="305"/>
        <v>40</v>
      </c>
      <c r="P50" s="223">
        <f t="shared" si="305"/>
        <v>0</v>
      </c>
      <c r="Q50" s="223">
        <f t="shared" si="305"/>
        <v>0</v>
      </c>
      <c r="R50" s="223">
        <f t="shared" si="305"/>
        <v>136502.86000000002</v>
      </c>
      <c r="S50" s="223">
        <f t="shared" si="305"/>
        <v>0</v>
      </c>
      <c r="T50" s="223">
        <f t="shared" si="305"/>
        <v>0</v>
      </c>
      <c r="U50" s="223">
        <f t="shared" si="305"/>
        <v>136502.86000000002</v>
      </c>
      <c r="V50" s="223">
        <f t="shared" si="305"/>
        <v>50</v>
      </c>
      <c r="W50" s="223">
        <f t="shared" si="305"/>
        <v>34125.714999999997</v>
      </c>
      <c r="X50" s="223">
        <f t="shared" si="305"/>
        <v>170628.57500000001</v>
      </c>
      <c r="Y50" s="223">
        <f t="shared" si="305"/>
        <v>0</v>
      </c>
      <c r="Z50" s="223">
        <f t="shared" si="305"/>
        <v>0</v>
      </c>
      <c r="AA50" s="223">
        <f t="shared" si="305"/>
        <v>0</v>
      </c>
      <c r="AB50" s="223">
        <f t="shared" si="305"/>
        <v>0</v>
      </c>
      <c r="AC50" s="223">
        <f t="shared" si="305"/>
        <v>0</v>
      </c>
      <c r="AD50" s="223">
        <f t="shared" si="305"/>
        <v>0</v>
      </c>
      <c r="AE50" s="223">
        <f t="shared" si="305"/>
        <v>27</v>
      </c>
      <c r="AF50" s="223">
        <f t="shared" si="305"/>
        <v>5309.0999999999995</v>
      </c>
      <c r="AG50" s="223">
        <f t="shared" si="305"/>
        <v>0</v>
      </c>
      <c r="AH50" s="223">
        <f t="shared" si="305"/>
        <v>0</v>
      </c>
      <c r="AI50" s="223">
        <f t="shared" si="305"/>
        <v>0</v>
      </c>
      <c r="AJ50" s="223">
        <f t="shared" si="305"/>
        <v>0</v>
      </c>
      <c r="AK50" s="223">
        <f t="shared" si="305"/>
        <v>27</v>
      </c>
      <c r="AL50" s="223">
        <f t="shared" si="305"/>
        <v>5309.0999999999995</v>
      </c>
      <c r="AM50" s="223">
        <f t="shared" si="305"/>
        <v>1.5</v>
      </c>
      <c r="AN50" s="223">
        <f t="shared" si="305"/>
        <v>6636.375</v>
      </c>
      <c r="AO50" s="223">
        <f t="shared" si="305"/>
        <v>0</v>
      </c>
      <c r="AP50" s="223">
        <f t="shared" si="305"/>
        <v>0</v>
      </c>
      <c r="AQ50" s="223">
        <f t="shared" si="305"/>
        <v>0</v>
      </c>
      <c r="AR50" s="223">
        <f t="shared" si="305"/>
        <v>0</v>
      </c>
      <c r="AS50" s="223">
        <f t="shared" si="305"/>
        <v>0</v>
      </c>
      <c r="AT50" s="223">
        <f t="shared" si="305"/>
        <v>0</v>
      </c>
      <c r="AU50" s="223">
        <f t="shared" si="305"/>
        <v>0</v>
      </c>
      <c r="AV50" s="223">
        <f t="shared" si="305"/>
        <v>0</v>
      </c>
      <c r="AW50" s="223">
        <f t="shared" si="305"/>
        <v>0</v>
      </c>
      <c r="AX50" s="223">
        <f t="shared" si="305"/>
        <v>0</v>
      </c>
      <c r="AY50" s="223">
        <f t="shared" si="305"/>
        <v>0</v>
      </c>
      <c r="AZ50" s="223">
        <f t="shared" si="305"/>
        <v>0</v>
      </c>
      <c r="BA50" s="223">
        <f t="shared" si="305"/>
        <v>0</v>
      </c>
      <c r="BB50" s="223">
        <f t="shared" si="305"/>
        <v>0</v>
      </c>
      <c r="BC50" s="223">
        <f t="shared" si="305"/>
        <v>0</v>
      </c>
      <c r="BD50" s="223">
        <f t="shared" si="305"/>
        <v>0</v>
      </c>
      <c r="BE50" s="223">
        <f t="shared" si="305"/>
        <v>13650.286000000002</v>
      </c>
      <c r="BF50" s="223">
        <f t="shared" si="305"/>
        <v>25595.761000000002</v>
      </c>
      <c r="BG50" s="223">
        <f t="shared" si="305"/>
        <v>196224.33600000001</v>
      </c>
      <c r="BH50" s="223">
        <f t="shared" si="305"/>
        <v>49056.084000000003</v>
      </c>
      <c r="BI50" s="223">
        <f t="shared" si="305"/>
        <v>2354692.0320000001</v>
      </c>
      <c r="BJ50" s="223">
        <f t="shared" si="305"/>
        <v>2</v>
      </c>
      <c r="BK50" s="223">
        <f t="shared" si="305"/>
        <v>153521.47500000001</v>
      </c>
    </row>
    <row r="51" spans="1:63">
      <c r="A51" s="4"/>
      <c r="B51" s="125" t="s">
        <v>103</v>
      </c>
      <c r="C51" s="74"/>
      <c r="D51" s="74"/>
      <c r="E51" s="74"/>
      <c r="F51" s="74"/>
      <c r="G51" s="74"/>
      <c r="H51" s="279"/>
      <c r="I51" s="252">
        <f>SUM(I10,I18,I24,I39,I42,I44,I47,I50)</f>
        <v>30.909999999999997</v>
      </c>
      <c r="J51" s="252">
        <f t="shared" ref="J51:AH51" si="306">SUM(J10,J18,J24,J39,J42,J44,J47,J50)</f>
        <v>0</v>
      </c>
      <c r="K51" s="252">
        <f t="shared" si="306"/>
        <v>30</v>
      </c>
      <c r="L51" s="252">
        <f t="shared" si="306"/>
        <v>219</v>
      </c>
      <c r="M51" s="252">
        <f t="shared" si="306"/>
        <v>323</v>
      </c>
      <c r="N51" s="252">
        <f t="shared" si="306"/>
        <v>0</v>
      </c>
      <c r="O51" s="252">
        <f t="shared" si="306"/>
        <v>572</v>
      </c>
      <c r="P51" s="252">
        <f t="shared" si="306"/>
        <v>0</v>
      </c>
      <c r="Q51" s="252">
        <f t="shared" si="306"/>
        <v>85343.782499999987</v>
      </c>
      <c r="R51" s="252">
        <f t="shared" si="306"/>
        <v>963808.11500000011</v>
      </c>
      <c r="S51" s="252">
        <f t="shared" si="306"/>
        <v>1503792.7433333332</v>
      </c>
      <c r="T51" s="252">
        <f t="shared" si="306"/>
        <v>0</v>
      </c>
      <c r="U51" s="252">
        <f t="shared" si="306"/>
        <v>2552944.6408333336</v>
      </c>
      <c r="V51" s="252">
        <f t="shared" si="306"/>
        <v>854</v>
      </c>
      <c r="W51" s="252">
        <f t="shared" si="306"/>
        <v>639979.80629166681</v>
      </c>
      <c r="X51" s="252">
        <f t="shared" si="306"/>
        <v>3192924.4471249995</v>
      </c>
      <c r="Y51" s="252">
        <f t="shared" si="306"/>
        <v>22</v>
      </c>
      <c r="Z51" s="252">
        <f t="shared" si="306"/>
        <v>5407.4166666666661</v>
      </c>
      <c r="AA51" s="252">
        <f t="shared" si="306"/>
        <v>38</v>
      </c>
      <c r="AB51" s="252">
        <f t="shared" si="306"/>
        <v>9340.0833333333321</v>
      </c>
      <c r="AC51" s="252">
        <f t="shared" si="306"/>
        <v>0</v>
      </c>
      <c r="AD51" s="252">
        <f t="shared" si="306"/>
        <v>0</v>
      </c>
      <c r="AE51" s="252">
        <f t="shared" si="306"/>
        <v>112</v>
      </c>
      <c r="AF51" s="252">
        <f t="shared" si="306"/>
        <v>22022.933333333331</v>
      </c>
      <c r="AG51" s="252">
        <f t="shared" si="306"/>
        <v>58.5</v>
      </c>
      <c r="AH51" s="252">
        <f t="shared" si="306"/>
        <v>11503.05</v>
      </c>
      <c r="AI51" s="252">
        <f t="shared" ref="AI51" si="307">SUM(AI10,AI18,AI24,AI39,AI42,AI44,AI47,AI50)</f>
        <v>0</v>
      </c>
      <c r="AJ51" s="252">
        <f t="shared" ref="AJ51" si="308">SUM(AJ10,AJ18,AJ24,AJ39,AJ42,AJ44,AJ47,AJ50)</f>
        <v>0</v>
      </c>
      <c r="AK51" s="252">
        <f t="shared" ref="AK51" si="309">SUM(AK10,AK18,AK24,AK39,AK42,AK44,AK47,AK50)</f>
        <v>230.5</v>
      </c>
      <c r="AL51" s="252">
        <f t="shared" ref="AL51" si="310">SUM(AL10,AL18,AL24,AL39,AL42,AL44,AL47,AL50)</f>
        <v>48273.48333333333</v>
      </c>
      <c r="AM51" s="252">
        <f t="shared" ref="AM51" si="311">SUM(AM10,AM18,AM24,AM39,AM42,AM44,AM47,AM50)</f>
        <v>5.5</v>
      </c>
      <c r="AN51" s="252">
        <f t="shared" ref="AN51" si="312">SUM(AN10,AN18,AN24,AN39,AN42,AN44,AN47,AN50)</f>
        <v>24333.375</v>
      </c>
      <c r="AO51" s="252">
        <f t="shared" ref="AO51" si="313">SUM(AO10,AO18,AO24,AO39,AO42,AO44,AO47,AO50)</f>
        <v>5.5</v>
      </c>
      <c r="AP51" s="252">
        <f t="shared" ref="AP51" si="314">SUM(AP10,AP18,AP24,AP39,AP42,AP44,AP47,AP50)</f>
        <v>29200.049999999996</v>
      </c>
      <c r="AQ51" s="252">
        <f t="shared" ref="AQ51" si="315">SUM(AQ10,AQ18,AQ24,AQ39,AQ42,AQ44,AQ47,AQ50)</f>
        <v>0</v>
      </c>
      <c r="AR51" s="252">
        <f t="shared" ref="AR51" si="316">SUM(AR10,AR18,AR24,AR39,AR42,AR44,AR47,AR50)</f>
        <v>0</v>
      </c>
      <c r="AS51" s="252">
        <f t="shared" ref="AS51" si="317">SUM(AS10,AS18,AS24,AS39,AS42,AS44,AS47,AS50)</f>
        <v>0</v>
      </c>
      <c r="AT51" s="252">
        <f t="shared" ref="AT51" si="318">SUM(AT10,AT18,AT24,AT39,AT42,AT44,AT47,AT50)</f>
        <v>0</v>
      </c>
      <c r="AU51" s="252">
        <f t="shared" ref="AU51" si="319">SUM(AU10,AU18,AU24,AU39,AU42,AU44,AU47,AU50)</f>
        <v>0</v>
      </c>
      <c r="AV51" s="252">
        <f t="shared" ref="AV51" si="320">SUM(AV10,AV18,AV24,AV39,AV42,AV44,AV47,AV50)</f>
        <v>0</v>
      </c>
      <c r="AW51" s="252">
        <f t="shared" ref="AW51" si="321">SUM(AW10,AW18,AW24,AW39,AW42,AW44,AW47,AW50)</f>
        <v>0</v>
      </c>
      <c r="AX51" s="252">
        <f t="shared" ref="AX51" si="322">SUM(AX10,AX18,AX24,AX39,AX42,AX44,AX47,AX50)</f>
        <v>0</v>
      </c>
      <c r="AY51" s="252">
        <f t="shared" ref="AY51" si="323">SUM(AY10,AY18,AY24,AY39,AY42,AY44,AY47,AY50)</f>
        <v>0.5</v>
      </c>
      <c r="AZ51" s="252">
        <f t="shared" ref="AZ51" si="324">SUM(AZ10,AZ18,AZ24,AZ39,AZ42,AZ44,AZ47,AZ50)</f>
        <v>2654.5499999999997</v>
      </c>
      <c r="BA51" s="252">
        <f t="shared" ref="BA51" si="325">SUM(BA10,BA18,BA24,BA39,BA42,BA44,BA47,BA50)</f>
        <v>0</v>
      </c>
      <c r="BB51" s="252">
        <f t="shared" ref="BB51" si="326">SUM(BB10,BB18,BB24,BB39,BB42,BB44,BB47,BB50)</f>
        <v>0</v>
      </c>
      <c r="BC51" s="252">
        <f t="shared" ref="BC51" si="327">SUM(BC10,BC18,BC24,BC39,BC42,BC44,BC47,BC50)</f>
        <v>0</v>
      </c>
      <c r="BD51" s="252">
        <f t="shared" ref="BD51" si="328">SUM(BD10,BD18,BD24,BD39,BD42,BD44,BD47,BD50)</f>
        <v>0</v>
      </c>
      <c r="BE51" s="252">
        <f t="shared" ref="BE51" si="329">SUM(BE10,BE18,BE24,BE39,BE42,BE44,BE47,BE50)</f>
        <v>237332.00908333334</v>
      </c>
      <c r="BF51" s="252">
        <f t="shared" ref="BF51" si="330">SUM(BF10,BF18,BF24,BF39,BF42,BF44,BF47,BF50)</f>
        <v>341793.46741666668</v>
      </c>
      <c r="BG51" s="252">
        <f t="shared" ref="BG51" si="331">SUM(BG10,BG18,BG24,BG39,BG42,BG44,BG47,BG50)</f>
        <v>3534717.9145416664</v>
      </c>
      <c r="BH51" s="252">
        <f t="shared" ref="BH51" si="332">SUM(BH10,BH18,BH24,BH39,BH42,BH44,BH47,BH50)</f>
        <v>2808668.7180260411</v>
      </c>
      <c r="BI51" s="252">
        <f t="shared" ref="BI51" si="333">SUM(BI10,BI18,BI24,BI39,BI42,BI44,BI47,BI50)</f>
        <v>40450669.517250001</v>
      </c>
      <c r="BJ51" s="252">
        <f t="shared" ref="BJ51" si="334">SUM(BJ10,BJ18,BJ24,BJ39,BJ42,BJ44,BJ47,BJ50)</f>
        <v>97140.007499999978</v>
      </c>
      <c r="BK51" s="252">
        <f t="shared" ref="BK51" si="335">SUM(BK10,BK18,BK24,BK39,BK42,BK44,BK47,BK50)</f>
        <v>2770749.6169110001</v>
      </c>
    </row>
    <row r="52" spans="1:63">
      <c r="A52" s="11"/>
      <c r="B52" s="124"/>
      <c r="C52" s="214"/>
      <c r="D52" s="214"/>
      <c r="E52" s="214"/>
      <c r="F52" s="214"/>
      <c r="G52" s="214"/>
      <c r="H52" s="323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  <c r="BG52" s="224"/>
      <c r="BH52" s="597"/>
      <c r="BI52" s="224"/>
    </row>
    <row r="53" spans="1:63">
      <c r="A53" s="13"/>
      <c r="B53" s="123"/>
      <c r="C53" s="215" t="s">
        <v>149</v>
      </c>
      <c r="D53" s="215"/>
      <c r="E53" s="215"/>
      <c r="F53" s="215"/>
      <c r="G53" s="303" t="s">
        <v>145</v>
      </c>
      <c r="H53" s="324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95" t="s">
        <v>346</v>
      </c>
      <c r="T53" s="292"/>
      <c r="U53" s="215"/>
      <c r="V53" s="225"/>
      <c r="W53" s="237"/>
      <c r="X53" s="237"/>
      <c r="Y53" s="304" t="s">
        <v>345</v>
      </c>
      <c r="Z53" s="225"/>
      <c r="AA53" s="225"/>
      <c r="AB53" s="225"/>
      <c r="AC53" s="225"/>
      <c r="AD53" s="225"/>
      <c r="AE53" s="238"/>
      <c r="AF53" s="225"/>
      <c r="AG53" s="238"/>
      <c r="AH53" s="225"/>
      <c r="AI53" s="238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  <c r="BE53" s="225"/>
      <c r="BF53" s="225"/>
      <c r="BG53" s="225"/>
      <c r="BH53" s="2"/>
      <c r="BI53" s="225"/>
    </row>
    <row r="54" spans="1:63">
      <c r="A54" s="13"/>
      <c r="B54" s="122"/>
      <c r="C54" s="215"/>
      <c r="D54" s="215"/>
      <c r="E54" s="215"/>
      <c r="F54" s="215"/>
      <c r="G54" s="222"/>
      <c r="H54" s="324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25"/>
      <c r="T54" s="215"/>
      <c r="U54" s="215" t="s">
        <v>43</v>
      </c>
      <c r="V54" s="225"/>
      <c r="W54" s="237"/>
      <c r="X54" s="237"/>
      <c r="Y54" s="237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"/>
      <c r="BI54" s="225"/>
    </row>
    <row r="55" spans="1:63">
      <c r="A55" s="14"/>
      <c r="B55" s="122"/>
      <c r="C55" s="216" t="s">
        <v>96</v>
      </c>
      <c r="D55" s="216"/>
      <c r="E55" s="216"/>
      <c r="F55" s="215"/>
      <c r="G55" s="303" t="s">
        <v>147</v>
      </c>
      <c r="H55" s="324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438" t="s">
        <v>376</v>
      </c>
      <c r="T55" s="438"/>
      <c r="U55" s="14"/>
      <c r="V55" s="225"/>
      <c r="W55" s="237"/>
      <c r="X55" s="237"/>
      <c r="Y55" s="304" t="s">
        <v>374</v>
      </c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5"/>
      <c r="AU55" s="225"/>
      <c r="AV55" s="225"/>
      <c r="AW55" s="225"/>
      <c r="AX55" s="225"/>
      <c r="AY55" s="225"/>
      <c r="AZ55" s="225"/>
      <c r="BA55" s="225"/>
      <c r="BB55" s="225"/>
      <c r="BC55" s="225"/>
      <c r="BD55" s="225"/>
      <c r="BE55" s="225"/>
      <c r="BF55" s="225"/>
      <c r="BG55" s="225"/>
      <c r="BH55" s="2"/>
      <c r="BI55" s="225"/>
    </row>
    <row r="56" spans="1:63">
      <c r="A56" s="14"/>
      <c r="B56" s="122"/>
      <c r="C56" s="216"/>
      <c r="D56" s="216"/>
      <c r="E56" s="216"/>
      <c r="F56" s="216"/>
      <c r="G56" s="222"/>
      <c r="H56" s="32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25"/>
      <c r="T56" s="215"/>
      <c r="U56" s="215"/>
      <c r="V56" s="225"/>
      <c r="W56" s="237"/>
      <c r="X56" s="237"/>
      <c r="Y56" s="237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5"/>
      <c r="AU56" s="225"/>
      <c r="AV56" s="225"/>
      <c r="AW56" s="225"/>
      <c r="AX56" s="225"/>
      <c r="AY56" s="225"/>
      <c r="AZ56" s="225"/>
      <c r="BA56" s="225"/>
      <c r="BB56" s="225"/>
      <c r="BC56" s="225"/>
      <c r="BD56" s="225"/>
      <c r="BE56" s="225"/>
      <c r="BF56" s="225"/>
      <c r="BG56" s="225"/>
      <c r="BI56" s="225"/>
    </row>
    <row r="57" spans="1:63">
      <c r="A57" s="14"/>
      <c r="B57" s="122"/>
      <c r="C57" s="216" t="s">
        <v>97</v>
      </c>
      <c r="D57" s="216"/>
      <c r="E57" s="216"/>
      <c r="F57" s="215"/>
      <c r="G57" s="303" t="s">
        <v>344</v>
      </c>
      <c r="H57" s="324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302" t="s">
        <v>45</v>
      </c>
      <c r="T57" s="302"/>
      <c r="U57" s="302"/>
      <c r="V57" s="225"/>
      <c r="W57" s="237"/>
      <c r="X57" s="237"/>
      <c r="Y57" s="304" t="s">
        <v>46</v>
      </c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5"/>
      <c r="AV57" s="225"/>
      <c r="AW57" s="225"/>
      <c r="AX57" s="225"/>
      <c r="AY57" s="225"/>
      <c r="AZ57" s="225"/>
      <c r="BA57" s="225"/>
      <c r="BB57" s="225"/>
      <c r="BC57" s="225"/>
      <c r="BD57" s="225"/>
      <c r="BE57" s="225"/>
      <c r="BF57" s="225"/>
      <c r="BG57" s="225"/>
      <c r="BI57" s="225"/>
    </row>
    <row r="58" spans="1:63">
      <c r="A58" s="14"/>
      <c r="B58" s="120"/>
      <c r="C58" s="217"/>
      <c r="D58" s="217"/>
      <c r="E58" s="217"/>
      <c r="F58" s="217"/>
      <c r="G58" s="217"/>
      <c r="H58" s="319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25"/>
      <c r="T58" s="260"/>
      <c r="U58" s="260"/>
      <c r="V58" s="225"/>
      <c r="W58" s="237"/>
      <c r="X58" s="237"/>
      <c r="Y58" s="237"/>
      <c r="Z58" s="225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I58" s="217"/>
    </row>
    <row r="59" spans="1:63" ht="15.75" customHeight="1">
      <c r="A59" s="14"/>
      <c r="B59" s="120"/>
      <c r="C59" s="217"/>
      <c r="D59" s="217"/>
      <c r="E59" s="217"/>
      <c r="F59" s="217"/>
      <c r="G59" s="217"/>
      <c r="H59" s="319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63" t="s">
        <v>295</v>
      </c>
      <c r="T59" s="263"/>
      <c r="U59" s="703"/>
      <c r="V59" s="703"/>
      <c r="W59" s="251"/>
      <c r="X59" s="263"/>
      <c r="Y59" s="59" t="s">
        <v>296</v>
      </c>
      <c r="Z59" s="263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I59" s="217"/>
    </row>
    <row r="60" spans="1:63">
      <c r="A60" s="1"/>
      <c r="B60" s="120"/>
      <c r="C60" s="217"/>
      <c r="D60" s="217"/>
      <c r="E60" s="217"/>
      <c r="F60" s="217"/>
      <c r="G60" s="217"/>
      <c r="H60" s="319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  <c r="BI60" s="217"/>
    </row>
    <row r="61" spans="1:63">
      <c r="A61" s="1"/>
      <c r="S61" s="217"/>
      <c r="T61" s="217"/>
      <c r="U61" s="217"/>
      <c r="V61" s="217"/>
      <c r="W61" s="217"/>
      <c r="X61" s="217"/>
      <c r="Y61" s="217"/>
      <c r="Z61" s="217"/>
    </row>
    <row r="62" spans="1:63">
      <c r="A62" s="1"/>
    </row>
    <row r="68" spans="62:63">
      <c r="BJ68" s="72"/>
      <c r="BK68" s="72"/>
    </row>
    <row r="80" spans="62:63">
      <c r="BJ80" s="287"/>
      <c r="BK80" s="287"/>
    </row>
    <row r="88" spans="62:63">
      <c r="BJ88" s="287"/>
      <c r="BK88" s="287"/>
    </row>
    <row r="89" spans="62:63">
      <c r="BJ89" s="287"/>
      <c r="BK89" s="287"/>
    </row>
    <row r="91" spans="62:63">
      <c r="BJ91" s="72"/>
      <c r="BK91" s="72"/>
    </row>
    <row r="92" spans="62:63">
      <c r="BJ92" s="72"/>
      <c r="BK92" s="72"/>
    </row>
    <row r="93" spans="62:63">
      <c r="BJ93" s="72"/>
      <c r="BK93" s="72"/>
    </row>
    <row r="96" spans="62:63">
      <c r="BJ96" s="287"/>
      <c r="BK96" s="287"/>
    </row>
    <row r="97" spans="62:63">
      <c r="BJ97" s="72"/>
      <c r="BK97" s="72"/>
    </row>
  </sheetData>
  <mergeCells count="43">
    <mergeCell ref="BJ5:BK6"/>
    <mergeCell ref="A35:A36"/>
    <mergeCell ref="B35:B36"/>
    <mergeCell ref="V5:BF5"/>
    <mergeCell ref="X6:X7"/>
    <mergeCell ref="AW6:AX6"/>
    <mergeCell ref="AY6:AZ6"/>
    <mergeCell ref="Y6:AK6"/>
    <mergeCell ref="AM6:AP6"/>
    <mergeCell ref="AQ6:AR6"/>
    <mergeCell ref="AS6:AT6"/>
    <mergeCell ref="AU6:AV6"/>
    <mergeCell ref="V6:W6"/>
    <mergeCell ref="B11:B12"/>
    <mergeCell ref="BI5:BI7"/>
    <mergeCell ref="BA6:BB6"/>
    <mergeCell ref="U59:V59"/>
    <mergeCell ref="A5:A7"/>
    <mergeCell ref="B5:B7"/>
    <mergeCell ref="C5:C7"/>
    <mergeCell ref="D5:D7"/>
    <mergeCell ref="E5:F5"/>
    <mergeCell ref="E6:E7"/>
    <mergeCell ref="F6:F7"/>
    <mergeCell ref="I6:I7"/>
    <mergeCell ref="J6:O6"/>
    <mergeCell ref="H6:H7"/>
    <mergeCell ref="I5:O5"/>
    <mergeCell ref="P5:U6"/>
    <mergeCell ref="A11:A12"/>
    <mergeCell ref="G6:G7"/>
    <mergeCell ref="A32:A33"/>
    <mergeCell ref="B1:D1"/>
    <mergeCell ref="B2:K2"/>
    <mergeCell ref="B3:F3"/>
    <mergeCell ref="K3:T3"/>
    <mergeCell ref="K4:T4"/>
    <mergeCell ref="B32:B33"/>
    <mergeCell ref="A45:A46"/>
    <mergeCell ref="B45:B46"/>
    <mergeCell ref="BG5:BG7"/>
    <mergeCell ref="BC6:BD6"/>
    <mergeCell ref="BF6:BF7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view="pageBreakPreview" topLeftCell="B10" zoomScale="69" zoomScaleNormal="50" zoomScaleSheetLayoutView="69" workbookViewId="0">
      <selection activeCell="W25" sqref="W25"/>
    </sheetView>
  </sheetViews>
  <sheetFormatPr defaultRowHeight="12.75"/>
  <cols>
    <col min="2" max="2" width="29.42578125" customWidth="1"/>
    <col min="3" max="3" width="20.85546875" customWidth="1"/>
    <col min="4" max="4" width="12.7109375" customWidth="1"/>
    <col min="5" max="5" width="11.85546875" customWidth="1"/>
    <col min="6" max="6" width="7.5703125" customWidth="1"/>
    <col min="7" max="7" width="9.85546875" customWidth="1"/>
    <col min="8" max="8" width="11.5703125" style="48" customWidth="1"/>
    <col min="9" max="9" width="8.140625" customWidth="1"/>
    <col min="10" max="10" width="14.28515625" customWidth="1"/>
    <col min="11" max="11" width="8.5703125" customWidth="1"/>
    <col min="12" max="12" width="12.5703125" customWidth="1"/>
    <col min="13" max="13" width="15.140625" customWidth="1"/>
    <col min="14" max="14" width="7.85546875" customWidth="1"/>
    <col min="15" max="15" width="6.5703125" customWidth="1"/>
    <col min="16" max="16" width="7.85546875" customWidth="1"/>
    <col min="17" max="17" width="11.42578125" customWidth="1"/>
    <col min="18" max="18" width="7.85546875" customWidth="1"/>
    <col min="19" max="19" width="12.140625" customWidth="1"/>
    <col min="20" max="20" width="7.5703125" customWidth="1"/>
    <col min="21" max="21" width="6.28515625" customWidth="1"/>
    <col min="22" max="22" width="9.28515625" customWidth="1"/>
    <col min="23" max="23" width="12" customWidth="1"/>
    <col min="24" max="24" width="7.5703125" customWidth="1"/>
    <col min="25" max="25" width="13.42578125" bestFit="1" customWidth="1"/>
    <col min="26" max="26" width="14.28515625" customWidth="1"/>
    <col min="27" max="27" width="16" customWidth="1"/>
    <col min="28" max="28" width="14.7109375" customWidth="1"/>
    <col min="29" max="29" width="18" customWidth="1"/>
    <col min="30" max="30" width="15.140625" customWidth="1"/>
    <col min="31" max="31" width="6.28515625" customWidth="1"/>
    <col min="32" max="32" width="14" customWidth="1"/>
  </cols>
  <sheetData>
    <row r="1" spans="1:32" ht="18" customHeight="1">
      <c r="A1" s="15"/>
      <c r="B1" s="734" t="s">
        <v>0</v>
      </c>
      <c r="C1" s="734"/>
      <c r="D1" s="734"/>
      <c r="E1" s="15"/>
      <c r="F1" s="15"/>
      <c r="G1" s="15"/>
      <c r="H1" s="4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605"/>
      <c r="AD1" s="15"/>
    </row>
    <row r="2" spans="1:32" ht="18">
      <c r="A2" s="15"/>
      <c r="B2" s="734" t="s">
        <v>435</v>
      </c>
      <c r="C2" s="734"/>
      <c r="D2" s="734"/>
      <c r="E2" s="735"/>
      <c r="F2" s="735"/>
      <c r="G2" s="735"/>
      <c r="H2" s="735"/>
      <c r="I2" s="735"/>
      <c r="J2" s="735"/>
      <c r="K2" s="735"/>
      <c r="L2" s="735"/>
      <c r="M2" s="97"/>
      <c r="N2" s="97"/>
      <c r="O2" s="97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605"/>
      <c r="AD2" s="15"/>
    </row>
    <row r="3" spans="1:32" ht="18" customHeight="1">
      <c r="A3" s="15"/>
      <c r="B3" s="736" t="s">
        <v>436</v>
      </c>
      <c r="C3" s="736"/>
      <c r="D3" s="736"/>
      <c r="E3" s="735"/>
      <c r="F3" s="735"/>
      <c r="G3" s="15"/>
      <c r="H3" s="45"/>
      <c r="I3" s="15"/>
      <c r="J3" s="15"/>
      <c r="K3" s="16"/>
      <c r="L3" s="738" t="s">
        <v>441</v>
      </c>
      <c r="M3" s="738"/>
      <c r="N3" s="738"/>
      <c r="O3" s="738"/>
      <c r="P3" s="738"/>
      <c r="Q3" s="738"/>
      <c r="R3" s="738"/>
      <c r="S3" s="738"/>
      <c r="T3" s="738"/>
      <c r="U3" s="738"/>
      <c r="V3" s="15"/>
      <c r="W3" s="15"/>
      <c r="X3" s="15"/>
      <c r="Y3" s="15"/>
      <c r="Z3" s="15"/>
      <c r="AA3" s="15"/>
      <c r="AB3" s="15"/>
      <c r="AC3" s="605"/>
      <c r="AD3" s="15"/>
    </row>
    <row r="4" spans="1:32" ht="18">
      <c r="A4" s="15"/>
      <c r="B4" s="15"/>
      <c r="C4" s="15"/>
      <c r="D4" s="15"/>
      <c r="E4" s="15"/>
      <c r="F4" s="15"/>
      <c r="G4" s="15" t="s">
        <v>1</v>
      </c>
      <c r="H4" s="45">
        <v>17697</v>
      </c>
      <c r="I4" s="15"/>
      <c r="J4" s="737"/>
      <c r="K4" s="737"/>
      <c r="L4" s="737"/>
      <c r="M4" s="98"/>
      <c r="N4" s="17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605"/>
      <c r="AD4" s="15"/>
    </row>
    <row r="5" spans="1:32" ht="18" customHeight="1">
      <c r="A5" s="718" t="s">
        <v>2</v>
      </c>
      <c r="B5" s="718" t="s">
        <v>3</v>
      </c>
      <c r="C5" s="718" t="s">
        <v>47</v>
      </c>
      <c r="D5" s="718" t="s">
        <v>5</v>
      </c>
      <c r="E5" s="718" t="s">
        <v>6</v>
      </c>
      <c r="F5" s="718"/>
      <c r="G5" s="722" t="s">
        <v>13</v>
      </c>
      <c r="H5" s="725" t="s">
        <v>14</v>
      </c>
      <c r="I5" s="728" t="s">
        <v>52</v>
      </c>
      <c r="J5" s="731" t="s">
        <v>49</v>
      </c>
      <c r="K5" s="728" t="s">
        <v>67</v>
      </c>
      <c r="L5" s="731"/>
      <c r="M5" s="722" t="s">
        <v>92</v>
      </c>
      <c r="N5" s="739" t="s">
        <v>66</v>
      </c>
      <c r="O5" s="740"/>
      <c r="P5" s="740"/>
      <c r="Q5" s="740"/>
      <c r="R5" s="740"/>
      <c r="S5" s="740"/>
      <c r="T5" s="740"/>
      <c r="U5" s="740"/>
      <c r="V5" s="740"/>
      <c r="W5" s="740"/>
      <c r="X5" s="740"/>
      <c r="Y5" s="740"/>
      <c r="Z5" s="740"/>
      <c r="AA5" s="741"/>
      <c r="AB5" s="718" t="s">
        <v>9</v>
      </c>
      <c r="AC5" s="606"/>
      <c r="AD5" s="718" t="s">
        <v>10</v>
      </c>
      <c r="AE5" s="708" t="s">
        <v>91</v>
      </c>
      <c r="AF5" s="708"/>
    </row>
    <row r="6" spans="1:32" ht="111" customHeight="1">
      <c r="A6" s="718"/>
      <c r="B6" s="718"/>
      <c r="C6" s="718"/>
      <c r="D6" s="718"/>
      <c r="E6" s="718" t="s">
        <v>48</v>
      </c>
      <c r="F6" s="720" t="s">
        <v>12</v>
      </c>
      <c r="G6" s="723"/>
      <c r="H6" s="726"/>
      <c r="I6" s="729"/>
      <c r="J6" s="732"/>
      <c r="K6" s="730"/>
      <c r="L6" s="733"/>
      <c r="M6" s="723"/>
      <c r="N6" s="718" t="s">
        <v>104</v>
      </c>
      <c r="O6" s="718"/>
      <c r="P6" s="721">
        <v>0.2</v>
      </c>
      <c r="Q6" s="721"/>
      <c r="R6" s="721">
        <v>0.3</v>
      </c>
      <c r="S6" s="721"/>
      <c r="T6" s="721" t="s">
        <v>73</v>
      </c>
      <c r="U6" s="721"/>
      <c r="V6" s="721" t="s">
        <v>50</v>
      </c>
      <c r="W6" s="721"/>
      <c r="X6" s="718" t="s">
        <v>51</v>
      </c>
      <c r="Y6" s="718"/>
      <c r="Z6" s="140" t="s">
        <v>72</v>
      </c>
      <c r="AA6" s="718" t="s">
        <v>21</v>
      </c>
      <c r="AB6" s="718"/>
      <c r="AC6" s="606" t="s">
        <v>413</v>
      </c>
      <c r="AD6" s="718"/>
      <c r="AE6" s="708"/>
      <c r="AF6" s="708"/>
    </row>
    <row r="7" spans="1:32" ht="54" customHeight="1">
      <c r="A7" s="718"/>
      <c r="B7" s="718"/>
      <c r="C7" s="718"/>
      <c r="D7" s="718"/>
      <c r="E7" s="718"/>
      <c r="F7" s="720"/>
      <c r="G7" s="724"/>
      <c r="H7" s="727"/>
      <c r="I7" s="730"/>
      <c r="J7" s="733"/>
      <c r="K7" s="18" t="s">
        <v>29</v>
      </c>
      <c r="L7" s="49" t="s">
        <v>53</v>
      </c>
      <c r="M7" s="724"/>
      <c r="N7" s="96" t="s">
        <v>54</v>
      </c>
      <c r="O7" s="96" t="s">
        <v>30</v>
      </c>
      <c r="P7" s="96" t="s">
        <v>54</v>
      </c>
      <c r="Q7" s="96" t="s">
        <v>30</v>
      </c>
      <c r="R7" s="96" t="s">
        <v>54</v>
      </c>
      <c r="S7" s="96" t="s">
        <v>30</v>
      </c>
      <c r="T7" s="96" t="s">
        <v>74</v>
      </c>
      <c r="U7" s="96" t="s">
        <v>53</v>
      </c>
      <c r="V7" s="96" t="s">
        <v>55</v>
      </c>
      <c r="W7" s="96" t="s">
        <v>30</v>
      </c>
      <c r="X7" s="96" t="s">
        <v>55</v>
      </c>
      <c r="Y7" s="96" t="s">
        <v>30</v>
      </c>
      <c r="Z7" s="140" t="s">
        <v>30</v>
      </c>
      <c r="AA7" s="718"/>
      <c r="AB7" s="718"/>
      <c r="AC7" s="606"/>
      <c r="AD7" s="718"/>
      <c r="AE7" s="79" t="s">
        <v>93</v>
      </c>
      <c r="AF7" s="79" t="s">
        <v>30</v>
      </c>
    </row>
    <row r="8" spans="1:32" ht="19.5" customHeight="1">
      <c r="A8" s="96">
        <v>1</v>
      </c>
      <c r="B8" s="96">
        <v>2</v>
      </c>
      <c r="C8" s="96">
        <v>3</v>
      </c>
      <c r="D8" s="96">
        <v>4</v>
      </c>
      <c r="E8" s="96">
        <v>5</v>
      </c>
      <c r="F8" s="96">
        <v>6</v>
      </c>
      <c r="G8" s="96">
        <v>7</v>
      </c>
      <c r="H8" s="327">
        <v>8</v>
      </c>
      <c r="I8" s="96">
        <v>9</v>
      </c>
      <c r="J8" s="96">
        <v>10</v>
      </c>
      <c r="K8" s="96">
        <v>11</v>
      </c>
      <c r="L8" s="96">
        <v>12</v>
      </c>
      <c r="M8" s="96">
        <v>13</v>
      </c>
      <c r="N8" s="96">
        <v>14</v>
      </c>
      <c r="O8" s="96">
        <v>15</v>
      </c>
      <c r="P8" s="96">
        <v>16</v>
      </c>
      <c r="Q8" s="96">
        <v>17</v>
      </c>
      <c r="R8" s="96">
        <v>18</v>
      </c>
      <c r="S8" s="96">
        <v>19</v>
      </c>
      <c r="T8" s="96">
        <v>20</v>
      </c>
      <c r="U8" s="96">
        <v>21</v>
      </c>
      <c r="V8" s="96">
        <v>22</v>
      </c>
      <c r="W8" s="96">
        <v>23</v>
      </c>
      <c r="X8" s="96">
        <v>24</v>
      </c>
      <c r="Y8" s="96">
        <v>25</v>
      </c>
      <c r="Z8" s="96">
        <v>26</v>
      </c>
      <c r="AA8" s="96">
        <v>27</v>
      </c>
      <c r="AB8" s="96">
        <v>28</v>
      </c>
      <c r="AC8" s="606"/>
      <c r="AD8" s="96">
        <v>29</v>
      </c>
      <c r="AE8" s="450">
        <v>61</v>
      </c>
      <c r="AF8" s="450">
        <v>62</v>
      </c>
    </row>
    <row r="9" spans="1:32" s="21" customFormat="1" ht="20.100000000000001" customHeight="1">
      <c r="A9" s="19"/>
      <c r="B9" s="20" t="s">
        <v>56</v>
      </c>
      <c r="C9" s="20"/>
      <c r="D9" s="20"/>
      <c r="E9" s="20"/>
      <c r="F9" s="20"/>
      <c r="G9" s="20"/>
      <c r="H9" s="26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607"/>
      <c r="AD9" s="20"/>
      <c r="AE9" s="71"/>
      <c r="AF9" s="429"/>
    </row>
    <row r="10" spans="1:32" ht="33" customHeight="1">
      <c r="A10" s="22">
        <v>1</v>
      </c>
      <c r="B10" s="23" t="s">
        <v>215</v>
      </c>
      <c r="C10" s="23" t="s">
        <v>214</v>
      </c>
      <c r="D10" s="23" t="s">
        <v>162</v>
      </c>
      <c r="E10" s="23" t="s">
        <v>213</v>
      </c>
      <c r="F10" s="23"/>
      <c r="G10" s="23">
        <v>16.05</v>
      </c>
      <c r="H10" s="371">
        <v>5.59</v>
      </c>
      <c r="I10" s="23">
        <v>1</v>
      </c>
      <c r="J10" s="60">
        <f>$H$4*H10*I10</f>
        <v>98926.23</v>
      </c>
      <c r="K10" s="23">
        <v>25</v>
      </c>
      <c r="L10" s="24">
        <f>SUM(J10*K10)/100</f>
        <v>24731.557499999999</v>
      </c>
      <c r="M10" s="24">
        <f>SUM(J10,L10)</f>
        <v>123657.78749999999</v>
      </c>
      <c r="N10" s="23"/>
      <c r="O10" s="23">
        <f>SUM($H$4*0.2)*N10</f>
        <v>0</v>
      </c>
      <c r="P10" s="23"/>
      <c r="Q10" s="23">
        <f>$H$4*0.2*P10</f>
        <v>0</v>
      </c>
      <c r="R10" s="24"/>
      <c r="S10" s="23">
        <f>$H$4*0.3*R10</f>
        <v>0</v>
      </c>
      <c r="T10" s="23"/>
      <c r="U10" s="23">
        <f>SUM($H$4*T10/100)</f>
        <v>0</v>
      </c>
      <c r="V10" s="23"/>
      <c r="W10" s="23">
        <f>SUM($H$4*H10/168*24)/6*V10</f>
        <v>0</v>
      </c>
      <c r="X10" s="23"/>
      <c r="Y10" s="23">
        <f>SUM($H$4*H10*I10*0.5/168*8)*X10</f>
        <v>0</v>
      </c>
      <c r="Z10" s="24">
        <f>SUM(J10*0.1)</f>
        <v>9892.6229999999996</v>
      </c>
      <c r="AA10" s="24">
        <f>SUM(L10,O10,Q10,S10,W10,U10,Z10,Y10)</f>
        <v>34624.180500000002</v>
      </c>
      <c r="AB10" s="24">
        <f>SUM(J10+AA10)</f>
        <v>133550.4105</v>
      </c>
      <c r="AC10" s="608">
        <f>AB10*25%</f>
        <v>33387.602625</v>
      </c>
      <c r="AD10" s="24">
        <f>SUM(AB10*12)</f>
        <v>1602604.926</v>
      </c>
      <c r="AE10" s="51">
        <v>1</v>
      </c>
      <c r="AF10" s="429">
        <f>SUM(($H$4*H10)+(($H$4*H10*K10)/100))*AE10</f>
        <v>123657.78749999999</v>
      </c>
    </row>
    <row r="11" spans="1:32" ht="32.25" customHeight="1">
      <c r="A11" s="22">
        <v>2</v>
      </c>
      <c r="B11" s="23" t="s">
        <v>188</v>
      </c>
      <c r="C11" s="23" t="s">
        <v>212</v>
      </c>
      <c r="D11" s="23" t="s">
        <v>162</v>
      </c>
      <c r="E11" s="23" t="s">
        <v>210</v>
      </c>
      <c r="F11" s="23"/>
      <c r="G11" s="23">
        <v>17</v>
      </c>
      <c r="H11" s="371">
        <v>5.31</v>
      </c>
      <c r="I11" s="23">
        <v>1</v>
      </c>
      <c r="J11" s="60">
        <f>$H$4*H11*I11</f>
        <v>93971.069999999992</v>
      </c>
      <c r="K11" s="23">
        <v>25</v>
      </c>
      <c r="L11" s="24">
        <f>SUM(J11*K11)/100</f>
        <v>23492.767500000002</v>
      </c>
      <c r="M11" s="24">
        <f>SUM(J11,L11)</f>
        <v>117463.83749999999</v>
      </c>
      <c r="N11" s="23"/>
      <c r="O11" s="23">
        <f>SUM($H$4*0.2)*N11</f>
        <v>0</v>
      </c>
      <c r="P11" s="23"/>
      <c r="Q11" s="23">
        <f>$H$4*0.2*P11</f>
        <v>0</v>
      </c>
      <c r="R11" s="24"/>
      <c r="S11" s="23">
        <f>$H$4*0.3*R11</f>
        <v>0</v>
      </c>
      <c r="T11" s="23"/>
      <c r="U11" s="23">
        <f>SUM($H$4*T11/100)</f>
        <v>0</v>
      </c>
      <c r="V11" s="23"/>
      <c r="W11" s="23">
        <f>SUM($H$4*H11/168*24)/6*V11</f>
        <v>0</v>
      </c>
      <c r="X11" s="23"/>
      <c r="Y11" s="23">
        <f>SUM($H$4*H11*I11*0.5/168*8)*X11</f>
        <v>0</v>
      </c>
      <c r="Z11" s="24">
        <f>SUM(J11*0.1)</f>
        <v>9397.107</v>
      </c>
      <c r="AA11" s="24">
        <f>SUM(L11,O11,Q11,S11,W11,U11,Z11,Y11)</f>
        <v>32889.874500000005</v>
      </c>
      <c r="AB11" s="24">
        <f>SUM(J11+AA11)</f>
        <v>126860.9445</v>
      </c>
      <c r="AC11" s="608">
        <f>AB11*25%</f>
        <v>31715.236124999999</v>
      </c>
      <c r="AD11" s="24">
        <f t="shared" ref="AD11:AD12" si="0">SUM(AB11*12)</f>
        <v>1522331.334</v>
      </c>
      <c r="AE11" s="51">
        <v>1</v>
      </c>
      <c r="AF11" s="429">
        <f>SUM(($H$4*H11)+(($H$4*H11*K11)/100))*AE11</f>
        <v>117463.83749999999</v>
      </c>
    </row>
    <row r="12" spans="1:32" ht="39.75" customHeight="1">
      <c r="A12" s="22">
        <v>3</v>
      </c>
      <c r="B12" s="23" t="s">
        <v>432</v>
      </c>
      <c r="C12" s="23" t="s">
        <v>211</v>
      </c>
      <c r="D12" s="23" t="s">
        <v>162</v>
      </c>
      <c r="E12" s="23" t="s">
        <v>210</v>
      </c>
      <c r="F12" s="23"/>
      <c r="G12" s="23" t="s">
        <v>433</v>
      </c>
      <c r="H12" s="371">
        <v>4.6500000000000004</v>
      </c>
      <c r="I12" s="23">
        <v>1</v>
      </c>
      <c r="J12" s="60">
        <f>$H$4*H12*I12</f>
        <v>82291.05</v>
      </c>
      <c r="K12" s="23">
        <v>25</v>
      </c>
      <c r="L12" s="24">
        <f>SUM(J12*K12)/100</f>
        <v>20572.762500000001</v>
      </c>
      <c r="M12" s="24">
        <f>SUM(J12,L12)</f>
        <v>102863.8125</v>
      </c>
      <c r="N12" s="23"/>
      <c r="O12" s="23">
        <f>SUM($H$4*0.2)*N12</f>
        <v>0</v>
      </c>
      <c r="P12" s="23"/>
      <c r="Q12" s="23">
        <f>$H$4*0.2*P12</f>
        <v>0</v>
      </c>
      <c r="R12" s="24"/>
      <c r="S12" s="23">
        <f>$H$4*0.3*R12</f>
        <v>0</v>
      </c>
      <c r="T12" s="23"/>
      <c r="U12" s="23">
        <f>SUM($H$4*T12/100)</f>
        <v>0</v>
      </c>
      <c r="V12" s="23"/>
      <c r="W12" s="23">
        <f>SUM($H$4*H12/168*24)/6*V12</f>
        <v>0</v>
      </c>
      <c r="X12" s="23"/>
      <c r="Y12" s="23">
        <f>SUM($H$4*H12*I12*0.5/168*8)*X12</f>
        <v>0</v>
      </c>
      <c r="Z12" s="24">
        <f>SUM(J12*0.1)</f>
        <v>8229.1050000000014</v>
      </c>
      <c r="AA12" s="24">
        <f>SUM(L12,O12,Q12,S12,W12,U12,Z12,Y12)</f>
        <v>28801.8675</v>
      </c>
      <c r="AB12" s="24">
        <f>SUM(J12+AA12)</f>
        <v>111092.91750000001</v>
      </c>
      <c r="AC12" s="608">
        <f t="shared" ref="AC12" si="1">AB12*25%</f>
        <v>27773.229375000003</v>
      </c>
      <c r="AD12" s="24">
        <f t="shared" si="0"/>
        <v>1333115.0100000002</v>
      </c>
      <c r="AE12" s="51">
        <v>1</v>
      </c>
      <c r="AF12" s="429">
        <f>SUM(($H$4*H12)+(($H$4*H12*K12)/100))*AE12</f>
        <v>102863.8125</v>
      </c>
    </row>
    <row r="13" spans="1:32" ht="20.100000000000001" customHeight="1">
      <c r="A13" s="22"/>
      <c r="B13" s="20" t="s">
        <v>57</v>
      </c>
      <c r="C13" s="23"/>
      <c r="D13" s="23"/>
      <c r="E13" s="23"/>
      <c r="F13" s="23"/>
      <c r="G13" s="23"/>
      <c r="H13" s="25"/>
      <c r="I13" s="20">
        <f t="shared" ref="I13:AF13" si="2">SUM(I10:I12)</f>
        <v>3</v>
      </c>
      <c r="J13" s="20">
        <f t="shared" si="2"/>
        <v>275188.34999999998</v>
      </c>
      <c r="K13" s="20">
        <f t="shared" si="2"/>
        <v>75</v>
      </c>
      <c r="L13" s="20">
        <f t="shared" si="2"/>
        <v>68797.087499999994</v>
      </c>
      <c r="M13" s="20">
        <f t="shared" si="2"/>
        <v>343985.4375</v>
      </c>
      <c r="N13" s="20">
        <f t="shared" si="2"/>
        <v>0</v>
      </c>
      <c r="O13" s="20">
        <f t="shared" si="2"/>
        <v>0</v>
      </c>
      <c r="P13" s="20">
        <f t="shared" si="2"/>
        <v>0</v>
      </c>
      <c r="Q13" s="20">
        <f t="shared" si="2"/>
        <v>0</v>
      </c>
      <c r="R13" s="20">
        <f t="shared" si="2"/>
        <v>0</v>
      </c>
      <c r="S13" s="20">
        <f t="shared" si="2"/>
        <v>0</v>
      </c>
      <c r="T13" s="20">
        <f t="shared" si="2"/>
        <v>0</v>
      </c>
      <c r="U13" s="20">
        <f t="shared" si="2"/>
        <v>0</v>
      </c>
      <c r="V13" s="20">
        <f t="shared" si="2"/>
        <v>0</v>
      </c>
      <c r="W13" s="20">
        <f t="shared" si="2"/>
        <v>0</v>
      </c>
      <c r="X13" s="20">
        <f t="shared" si="2"/>
        <v>0</v>
      </c>
      <c r="Y13" s="20">
        <f t="shared" si="2"/>
        <v>0</v>
      </c>
      <c r="Z13" s="20">
        <f t="shared" si="2"/>
        <v>27518.834999999999</v>
      </c>
      <c r="AA13" s="20">
        <f t="shared" si="2"/>
        <v>96315.922500000015</v>
      </c>
      <c r="AB13" s="20">
        <f t="shared" si="2"/>
        <v>371504.27249999996</v>
      </c>
      <c r="AC13" s="20">
        <f t="shared" si="2"/>
        <v>92876.068124999991</v>
      </c>
      <c r="AD13" s="20">
        <f t="shared" si="2"/>
        <v>4458051.2699999996</v>
      </c>
      <c r="AE13" s="20">
        <f t="shared" si="2"/>
        <v>3</v>
      </c>
      <c r="AF13" s="20">
        <f t="shared" si="2"/>
        <v>343985.4375</v>
      </c>
    </row>
    <row r="14" spans="1:32" ht="20.100000000000001" customHeight="1">
      <c r="A14" s="22"/>
      <c r="B14" s="20" t="s">
        <v>58</v>
      </c>
      <c r="C14" s="23"/>
      <c r="D14" s="23"/>
      <c r="E14" s="23"/>
      <c r="F14" s="23"/>
      <c r="G14" s="23"/>
      <c r="H14" s="25"/>
      <c r="I14" s="23"/>
      <c r="J14" s="60"/>
      <c r="K14" s="23"/>
      <c r="L14" s="24"/>
      <c r="M14" s="24"/>
      <c r="N14" s="23"/>
      <c r="O14" s="23"/>
      <c r="P14" s="23"/>
      <c r="Q14" s="23"/>
      <c r="R14" s="24"/>
      <c r="S14" s="23"/>
      <c r="T14" s="23"/>
      <c r="U14" s="23">
        <f>SUM($H$4*T14/100)</f>
        <v>0</v>
      </c>
      <c r="V14" s="23"/>
      <c r="W14" s="23"/>
      <c r="X14" s="23"/>
      <c r="Y14" s="23"/>
      <c r="Z14" s="24"/>
      <c r="AA14" s="24"/>
      <c r="AB14" s="24"/>
      <c r="AC14" s="609"/>
      <c r="AD14" s="24"/>
      <c r="AE14" s="51"/>
      <c r="AF14" s="51"/>
    </row>
    <row r="15" spans="1:32" ht="42" customHeight="1">
      <c r="A15" s="22">
        <v>1</v>
      </c>
      <c r="B15" s="23" t="s">
        <v>209</v>
      </c>
      <c r="C15" s="23" t="s">
        <v>208</v>
      </c>
      <c r="D15" s="23" t="s">
        <v>162</v>
      </c>
      <c r="E15" s="23" t="s">
        <v>347</v>
      </c>
      <c r="F15" s="23">
        <v>2</v>
      </c>
      <c r="G15" s="23">
        <v>11</v>
      </c>
      <c r="H15" s="371">
        <v>4.8099999999999996</v>
      </c>
      <c r="I15" s="23">
        <v>0.5</v>
      </c>
      <c r="J15" s="60">
        <f>$H$4*H15*I15</f>
        <v>42561.284999999996</v>
      </c>
      <c r="K15" s="23">
        <v>25</v>
      </c>
      <c r="L15" s="24">
        <f>SUM(J15*K15)/100</f>
        <v>10640.321250000001</v>
      </c>
      <c r="M15" s="24">
        <f>SUM(J15,L15)</f>
        <v>53201.606249999997</v>
      </c>
      <c r="N15" s="23"/>
      <c r="O15" s="23">
        <f>SUM($H$4*0.2)*N15</f>
        <v>0</v>
      </c>
      <c r="P15" s="23"/>
      <c r="Q15" s="23">
        <f>$H$4*0.2*P15</f>
        <v>0</v>
      </c>
      <c r="R15" s="24"/>
      <c r="S15" s="23">
        <f>$H$4*0.3*R15</f>
        <v>0</v>
      </c>
      <c r="T15" s="23"/>
      <c r="U15" s="23">
        <f>SUM($H$4*T15/100)</f>
        <v>0</v>
      </c>
      <c r="V15" s="23"/>
      <c r="W15" s="23">
        <f>SUM($H$4*H15/168*24)/6*V15</f>
        <v>0</v>
      </c>
      <c r="X15" s="23"/>
      <c r="Y15" s="23">
        <f>SUM($H$4*H15*I15*0.5/168*8)*X15</f>
        <v>0</v>
      </c>
      <c r="Z15" s="24">
        <f>SUM(J15*0.1)</f>
        <v>4256.1284999999998</v>
      </c>
      <c r="AA15" s="24">
        <f>SUM(L15,O15,Q15,S15,W15,U15,Z15,Y15)</f>
        <v>14896.44975</v>
      </c>
      <c r="AB15" s="24">
        <f>SUM(J15+AA15)</f>
        <v>57457.734749999996</v>
      </c>
      <c r="AC15" s="608">
        <f t="shared" ref="AC15:AC16" si="3">AB15*25%</f>
        <v>14364.433687499999</v>
      </c>
      <c r="AD15" s="24">
        <f>SUM(AB15*12)</f>
        <v>689492.81699999992</v>
      </c>
      <c r="AE15" s="51"/>
      <c r="AF15" s="429"/>
    </row>
    <row r="16" spans="1:32" ht="38.25" customHeight="1">
      <c r="A16" s="22">
        <v>2</v>
      </c>
      <c r="B16" s="23" t="s">
        <v>158</v>
      </c>
      <c r="C16" s="23" t="s">
        <v>207</v>
      </c>
      <c r="D16" s="23" t="s">
        <v>162</v>
      </c>
      <c r="E16" s="23" t="s">
        <v>206</v>
      </c>
      <c r="F16" s="23"/>
      <c r="G16" s="23">
        <v>22.03</v>
      </c>
      <c r="H16" s="371">
        <v>4.12</v>
      </c>
      <c r="I16" s="23">
        <v>0.5</v>
      </c>
      <c r="J16" s="60">
        <f>$H$4*H16*I16</f>
        <v>36455.82</v>
      </c>
      <c r="K16" s="23">
        <v>25</v>
      </c>
      <c r="L16" s="24">
        <f>SUM(J16*K16)/100</f>
        <v>9113.9549999999999</v>
      </c>
      <c r="M16" s="24">
        <f>SUM(J16,L16)</f>
        <v>45569.775000000001</v>
      </c>
      <c r="N16" s="23"/>
      <c r="O16" s="23">
        <f>SUM($H$4*0.2)*N16</f>
        <v>0</v>
      </c>
      <c r="P16" s="23"/>
      <c r="Q16" s="23">
        <f>$H$4*0.2*P16</f>
        <v>0</v>
      </c>
      <c r="R16" s="24"/>
      <c r="S16" s="23">
        <f>$H$4*0.3*R16</f>
        <v>0</v>
      </c>
      <c r="T16" s="23"/>
      <c r="U16" s="23">
        <f>SUM($H$4*T16/100)</f>
        <v>0</v>
      </c>
      <c r="V16" s="23"/>
      <c r="W16" s="23">
        <f>SUM($H$4*H16/168*24)/6*V16</f>
        <v>0</v>
      </c>
      <c r="X16" s="23"/>
      <c r="Y16" s="23">
        <f>SUM($H$4*H16*I16*0.5/168*8)*X16</f>
        <v>0</v>
      </c>
      <c r="Z16" s="24">
        <f>SUM(J16*0.1)</f>
        <v>3645.5820000000003</v>
      </c>
      <c r="AA16" s="24">
        <f>SUM(L16,O16,Q16,S16,W16,U16,Z16,Y16)</f>
        <v>12759.537</v>
      </c>
      <c r="AB16" s="24">
        <f>SUM(J16+AA16)</f>
        <v>49215.357000000004</v>
      </c>
      <c r="AC16" s="608">
        <f t="shared" si="3"/>
        <v>12303.839250000001</v>
      </c>
      <c r="AD16" s="24">
        <f>SUM(AB16*12)</f>
        <v>590584.28399999999</v>
      </c>
      <c r="AE16" s="51"/>
      <c r="AF16" s="51"/>
    </row>
    <row r="17" spans="1:32" ht="20.100000000000001" customHeight="1">
      <c r="A17" s="22"/>
      <c r="B17" s="20" t="s">
        <v>59</v>
      </c>
      <c r="C17" s="23"/>
      <c r="D17" s="23"/>
      <c r="E17" s="23"/>
      <c r="F17" s="23"/>
      <c r="G17" s="23"/>
      <c r="H17" s="25"/>
      <c r="I17" s="20">
        <f t="shared" ref="I17:AF17" si="4">SUM(I15:I16)</f>
        <v>1</v>
      </c>
      <c r="J17" s="20">
        <f t="shared" si="4"/>
        <v>79017.104999999996</v>
      </c>
      <c r="K17" s="20">
        <f t="shared" si="4"/>
        <v>50</v>
      </c>
      <c r="L17" s="20">
        <f t="shared" si="4"/>
        <v>19754.276250000003</v>
      </c>
      <c r="M17" s="20">
        <f t="shared" si="4"/>
        <v>98771.381250000006</v>
      </c>
      <c r="N17" s="20">
        <f t="shared" si="4"/>
        <v>0</v>
      </c>
      <c r="O17" s="20">
        <f t="shared" si="4"/>
        <v>0</v>
      </c>
      <c r="P17" s="20">
        <f t="shared" si="4"/>
        <v>0</v>
      </c>
      <c r="Q17" s="20">
        <f t="shared" si="4"/>
        <v>0</v>
      </c>
      <c r="R17" s="20">
        <f t="shared" si="4"/>
        <v>0</v>
      </c>
      <c r="S17" s="20">
        <f t="shared" si="4"/>
        <v>0</v>
      </c>
      <c r="T17" s="20">
        <f t="shared" si="4"/>
        <v>0</v>
      </c>
      <c r="U17" s="20">
        <f t="shared" si="4"/>
        <v>0</v>
      </c>
      <c r="V17" s="20">
        <f t="shared" si="4"/>
        <v>0</v>
      </c>
      <c r="W17" s="20">
        <f t="shared" si="4"/>
        <v>0</v>
      </c>
      <c r="X17" s="20">
        <f t="shared" si="4"/>
        <v>0</v>
      </c>
      <c r="Y17" s="20">
        <f t="shared" si="4"/>
        <v>0</v>
      </c>
      <c r="Z17" s="20">
        <f t="shared" si="4"/>
        <v>7901.7105000000001</v>
      </c>
      <c r="AA17" s="20">
        <f t="shared" si="4"/>
        <v>27655.98675</v>
      </c>
      <c r="AB17" s="20">
        <f t="shared" si="4"/>
        <v>106673.09174999999</v>
      </c>
      <c r="AC17" s="20">
        <f t="shared" si="4"/>
        <v>26668.272937499998</v>
      </c>
      <c r="AD17" s="20">
        <f t="shared" si="4"/>
        <v>1280077.1009999998</v>
      </c>
      <c r="AE17" s="20">
        <f t="shared" si="4"/>
        <v>0</v>
      </c>
      <c r="AF17" s="299">
        <f t="shared" si="4"/>
        <v>0</v>
      </c>
    </row>
    <row r="18" spans="1:32" s="21" customFormat="1" ht="20.100000000000001" customHeight="1">
      <c r="A18" s="20"/>
      <c r="B18" s="20" t="s">
        <v>60</v>
      </c>
      <c r="C18" s="20"/>
      <c r="D18" s="20"/>
      <c r="E18" s="20"/>
      <c r="F18" s="20"/>
      <c r="G18" s="20"/>
      <c r="H18" s="26"/>
      <c r="I18" s="20"/>
      <c r="J18" s="26"/>
      <c r="K18" s="20"/>
      <c r="L18" s="20"/>
      <c r="M18" s="305">
        <f>SUM(J18,L18)</f>
        <v>0</v>
      </c>
      <c r="N18" s="20"/>
      <c r="O18" s="20"/>
      <c r="P18" s="20"/>
      <c r="Q18" s="20"/>
      <c r="R18" s="20"/>
      <c r="S18" s="20"/>
      <c r="T18" s="20"/>
      <c r="U18" s="23">
        <f>SUM($H$4*T18/100)</f>
        <v>0</v>
      </c>
      <c r="V18" s="20"/>
      <c r="W18" s="20"/>
      <c r="X18" s="20"/>
      <c r="Y18" s="20"/>
      <c r="Z18" s="299"/>
      <c r="AA18" s="20"/>
      <c r="AB18" s="20"/>
      <c r="AC18" s="608"/>
      <c r="AD18" s="20"/>
      <c r="AE18" s="52"/>
      <c r="AF18" s="52"/>
    </row>
    <row r="19" spans="1:32" ht="48" customHeight="1">
      <c r="A19" s="22">
        <v>1</v>
      </c>
      <c r="B19" s="23" t="s">
        <v>201</v>
      </c>
      <c r="C19" s="23" t="s">
        <v>205</v>
      </c>
      <c r="D19" s="23" t="s">
        <v>194</v>
      </c>
      <c r="E19" s="23" t="s">
        <v>204</v>
      </c>
      <c r="F19" s="23"/>
      <c r="G19" s="23">
        <v>4</v>
      </c>
      <c r="H19" s="371">
        <v>3.43</v>
      </c>
      <c r="I19" s="23">
        <v>0.5</v>
      </c>
      <c r="J19" s="60">
        <f>$H$4*H19*I19</f>
        <v>30350.355000000003</v>
      </c>
      <c r="K19" s="23"/>
      <c r="L19" s="305">
        <f>SUM(J19*K19)/100</f>
        <v>0</v>
      </c>
      <c r="M19" s="24">
        <f>SUM(J19,L19)</f>
        <v>30350.355000000003</v>
      </c>
      <c r="N19" s="23"/>
      <c r="O19" s="23">
        <f>SUM($H$4*0.2)*N19</f>
        <v>0</v>
      </c>
      <c r="P19" s="23"/>
      <c r="Q19" s="23">
        <f>$H$4*0.2*P19</f>
        <v>0</v>
      </c>
      <c r="R19" s="24"/>
      <c r="S19" s="23">
        <f>$H$4*0.3*R19</f>
        <v>0</v>
      </c>
      <c r="T19" s="23"/>
      <c r="U19" s="23">
        <f>SUM($H$4*T19/100)</f>
        <v>0</v>
      </c>
      <c r="V19" s="23"/>
      <c r="W19" s="23">
        <f>SUM($H$4*H19/168*24)/6*V19</f>
        <v>0</v>
      </c>
      <c r="X19" s="23"/>
      <c r="Y19" s="23">
        <f>SUM($H$4*H19*I19*0.5/168*8)*X19</f>
        <v>0</v>
      </c>
      <c r="Z19" s="24">
        <f>SUM(J19*0.1)</f>
        <v>3035.0355000000004</v>
      </c>
      <c r="AA19" s="24">
        <f>SUM(L19,O19,Q19,S19,W19,U19,Z19,Y19)</f>
        <v>3035.0355000000004</v>
      </c>
      <c r="AB19" s="24">
        <f>SUM(J19+AA19)</f>
        <v>33385.390500000001</v>
      </c>
      <c r="AC19" s="608"/>
      <c r="AD19" s="24">
        <f>SUM(AB19*12)</f>
        <v>400624.68599999999</v>
      </c>
      <c r="AE19" s="51">
        <v>0.5</v>
      </c>
      <c r="AF19" s="429">
        <f>SUM(($H$4*H19))*AE19</f>
        <v>30350.355000000003</v>
      </c>
    </row>
    <row r="20" spans="1:32" ht="20.100000000000001" customHeight="1">
      <c r="A20" s="22"/>
      <c r="B20" s="20" t="s">
        <v>61</v>
      </c>
      <c r="C20" s="23"/>
      <c r="D20" s="23"/>
      <c r="E20" s="23"/>
      <c r="F20" s="23"/>
      <c r="G20" s="23"/>
      <c r="H20" s="25"/>
      <c r="I20" s="20">
        <f t="shared" ref="I20:AF20" si="5">SUM(I19:I19)</f>
        <v>0.5</v>
      </c>
      <c r="J20" s="20">
        <f t="shared" si="5"/>
        <v>30350.355000000003</v>
      </c>
      <c r="K20" s="20">
        <f t="shared" si="5"/>
        <v>0</v>
      </c>
      <c r="L20" s="20">
        <f t="shared" si="5"/>
        <v>0</v>
      </c>
      <c r="M20" s="20">
        <f t="shared" si="5"/>
        <v>30350.355000000003</v>
      </c>
      <c r="N20" s="20">
        <f t="shared" si="5"/>
        <v>0</v>
      </c>
      <c r="O20" s="20">
        <f t="shared" si="5"/>
        <v>0</v>
      </c>
      <c r="P20" s="20">
        <f t="shared" si="5"/>
        <v>0</v>
      </c>
      <c r="Q20" s="20">
        <f t="shared" si="5"/>
        <v>0</v>
      </c>
      <c r="R20" s="20">
        <f t="shared" si="5"/>
        <v>0</v>
      </c>
      <c r="S20" s="20">
        <f t="shared" si="5"/>
        <v>0</v>
      </c>
      <c r="T20" s="20">
        <f t="shared" si="5"/>
        <v>0</v>
      </c>
      <c r="U20" s="20">
        <f t="shared" si="5"/>
        <v>0</v>
      </c>
      <c r="V20" s="20">
        <f t="shared" si="5"/>
        <v>0</v>
      </c>
      <c r="W20" s="20">
        <f t="shared" si="5"/>
        <v>0</v>
      </c>
      <c r="X20" s="20">
        <f t="shared" si="5"/>
        <v>0</v>
      </c>
      <c r="Y20" s="20">
        <f t="shared" si="5"/>
        <v>0</v>
      </c>
      <c r="Z20" s="20">
        <f t="shared" si="5"/>
        <v>3035.0355000000004</v>
      </c>
      <c r="AA20" s="20">
        <f t="shared" si="5"/>
        <v>3035.0355000000004</v>
      </c>
      <c r="AB20" s="20">
        <f t="shared" si="5"/>
        <v>33385.390500000001</v>
      </c>
      <c r="AC20" s="20">
        <f t="shared" si="5"/>
        <v>0</v>
      </c>
      <c r="AD20" s="20">
        <f t="shared" si="5"/>
        <v>400624.68599999999</v>
      </c>
      <c r="AE20" s="20">
        <f t="shared" si="5"/>
        <v>0.5</v>
      </c>
      <c r="AF20" s="299">
        <f t="shared" si="5"/>
        <v>30350.355000000003</v>
      </c>
    </row>
    <row r="21" spans="1:32" s="21" customFormat="1" ht="20.100000000000001" customHeight="1">
      <c r="A21" s="20"/>
      <c r="B21" s="20" t="s">
        <v>62</v>
      </c>
      <c r="C21" s="20"/>
      <c r="D21" s="20"/>
      <c r="E21" s="20"/>
      <c r="F21" s="20"/>
      <c r="G21" s="20"/>
      <c r="H21" s="26"/>
      <c r="I21" s="20"/>
      <c r="J21" s="26"/>
      <c r="K21" s="20"/>
      <c r="L21" s="20"/>
      <c r="M21" s="305">
        <f>SUM(J21,L21)</f>
        <v>0</v>
      </c>
      <c r="N21" s="20"/>
      <c r="O21" s="20"/>
      <c r="P21" s="20"/>
      <c r="Q21" s="20"/>
      <c r="R21" s="20"/>
      <c r="S21" s="20"/>
      <c r="T21" s="20"/>
      <c r="U21" s="20">
        <f>SUM($H$4*T21/100)</f>
        <v>0</v>
      </c>
      <c r="V21" s="20"/>
      <c r="W21" s="20"/>
      <c r="X21" s="20"/>
      <c r="Y21" s="20"/>
      <c r="Z21" s="24"/>
      <c r="AA21" s="20"/>
      <c r="AB21" s="20"/>
      <c r="AC21" s="609"/>
      <c r="AD21" s="20"/>
      <c r="AE21" s="52"/>
      <c r="AF21" s="52"/>
    </row>
    <row r="22" spans="1:32" ht="38.25" customHeight="1">
      <c r="A22" s="22">
        <v>1</v>
      </c>
      <c r="B22" s="23" t="s">
        <v>380</v>
      </c>
      <c r="C22" s="23" t="s">
        <v>203</v>
      </c>
      <c r="D22" s="23" t="s">
        <v>162</v>
      </c>
      <c r="E22" s="23" t="s">
        <v>202</v>
      </c>
      <c r="F22" s="23"/>
      <c r="G22" s="23">
        <v>0.09</v>
      </c>
      <c r="H22" s="371">
        <v>2.94</v>
      </c>
      <c r="I22" s="23">
        <v>0.5</v>
      </c>
      <c r="J22" s="60">
        <f>$H$4*H22*I22</f>
        <v>26014.59</v>
      </c>
      <c r="K22" s="23"/>
      <c r="L22" s="305">
        <f>SUM(J22*K22)/100</f>
        <v>0</v>
      </c>
      <c r="M22" s="24">
        <f>SUM(J22,L22)</f>
        <v>26014.59</v>
      </c>
      <c r="N22" s="23"/>
      <c r="O22" s="23">
        <f>SUM($H$4*0.2)*N22</f>
        <v>0</v>
      </c>
      <c r="P22" s="23"/>
      <c r="Q22" s="23">
        <f>$H$4*0.2*P22</f>
        <v>0</v>
      </c>
      <c r="R22" s="24"/>
      <c r="S22" s="23">
        <f>$H$4*0.3*R22</f>
        <v>0</v>
      </c>
      <c r="T22" s="23"/>
      <c r="U22" s="20">
        <f>SUM($H$4*T22/100)</f>
        <v>0</v>
      </c>
      <c r="V22" s="23"/>
      <c r="W22" s="23">
        <f>SUM($H$4*H22/168*24)/6*V22</f>
        <v>0</v>
      </c>
      <c r="X22" s="23"/>
      <c r="Y22" s="23">
        <f>SUM($H$4*H22*I22*0.5/168*8)*X22</f>
        <v>0</v>
      </c>
      <c r="Z22" s="24">
        <f>SUM(J22*0.1)</f>
        <v>2601.4590000000003</v>
      </c>
      <c r="AA22" s="24">
        <f>SUM(L22,O22,Q22,S22,W22,U22,Z22,Y22)</f>
        <v>2601.4590000000003</v>
      </c>
      <c r="AB22" s="24">
        <f>SUM(J22+AA22)</f>
        <v>28616.048999999999</v>
      </c>
      <c r="AC22" s="609"/>
      <c r="AD22" s="24">
        <f>SUM(AB22*12)</f>
        <v>343392.58799999999</v>
      </c>
      <c r="AE22" s="51">
        <v>0.5</v>
      </c>
      <c r="AF22" s="429">
        <f>SUM(($H$4*H22))*AE22</f>
        <v>26014.59</v>
      </c>
    </row>
    <row r="23" spans="1:32" s="21" customFormat="1" ht="38.25" customHeight="1">
      <c r="A23" s="20"/>
      <c r="B23" s="20" t="s">
        <v>90</v>
      </c>
      <c r="C23" s="20"/>
      <c r="D23" s="20"/>
      <c r="E23" s="20"/>
      <c r="F23" s="20"/>
      <c r="G23" s="20"/>
      <c r="H23" s="26"/>
      <c r="I23" s="20">
        <f t="shared" ref="I23:AF23" si="6">SUM(I22:I22)</f>
        <v>0.5</v>
      </c>
      <c r="J23" s="20">
        <f t="shared" si="6"/>
        <v>26014.59</v>
      </c>
      <c r="K23" s="20">
        <f t="shared" si="6"/>
        <v>0</v>
      </c>
      <c r="L23" s="20">
        <f t="shared" si="6"/>
        <v>0</v>
      </c>
      <c r="M23" s="20">
        <f t="shared" si="6"/>
        <v>26014.59</v>
      </c>
      <c r="N23" s="20">
        <f t="shared" si="6"/>
        <v>0</v>
      </c>
      <c r="O23" s="20">
        <f t="shared" si="6"/>
        <v>0</v>
      </c>
      <c r="P23" s="20">
        <f t="shared" si="6"/>
        <v>0</v>
      </c>
      <c r="Q23" s="20">
        <f t="shared" si="6"/>
        <v>0</v>
      </c>
      <c r="R23" s="20">
        <f t="shared" si="6"/>
        <v>0</v>
      </c>
      <c r="S23" s="20">
        <f t="shared" si="6"/>
        <v>0</v>
      </c>
      <c r="T23" s="20">
        <f t="shared" si="6"/>
        <v>0</v>
      </c>
      <c r="U23" s="20">
        <f t="shared" si="6"/>
        <v>0</v>
      </c>
      <c r="V23" s="20">
        <f t="shared" si="6"/>
        <v>0</v>
      </c>
      <c r="W23" s="20">
        <f t="shared" si="6"/>
        <v>0</v>
      </c>
      <c r="X23" s="20">
        <f t="shared" si="6"/>
        <v>0</v>
      </c>
      <c r="Y23" s="20">
        <f t="shared" si="6"/>
        <v>0</v>
      </c>
      <c r="Z23" s="20">
        <f t="shared" si="6"/>
        <v>2601.4590000000003</v>
      </c>
      <c r="AA23" s="20">
        <f t="shared" si="6"/>
        <v>2601.4590000000003</v>
      </c>
      <c r="AB23" s="20">
        <f t="shared" si="6"/>
        <v>28616.048999999999</v>
      </c>
      <c r="AC23" s="20">
        <f t="shared" si="6"/>
        <v>0</v>
      </c>
      <c r="AD23" s="20">
        <f t="shared" si="6"/>
        <v>343392.58799999999</v>
      </c>
      <c r="AE23" s="20">
        <f t="shared" si="6"/>
        <v>0.5</v>
      </c>
      <c r="AF23" s="299">
        <f t="shared" si="6"/>
        <v>26014.59</v>
      </c>
    </row>
    <row r="24" spans="1:32" ht="36.75" customHeight="1">
      <c r="A24" s="22">
        <v>1</v>
      </c>
      <c r="B24" s="23" t="s">
        <v>201</v>
      </c>
      <c r="C24" s="23" t="s">
        <v>200</v>
      </c>
      <c r="D24" s="23" t="s">
        <v>199</v>
      </c>
      <c r="E24" s="23" t="s">
        <v>195</v>
      </c>
      <c r="F24" s="23"/>
      <c r="G24" s="23">
        <v>11</v>
      </c>
      <c r="H24" s="371">
        <v>2.81</v>
      </c>
      <c r="I24" s="23">
        <v>1</v>
      </c>
      <c r="J24" s="60">
        <f>$H$4*H24*I24</f>
        <v>49728.57</v>
      </c>
      <c r="K24" s="23"/>
      <c r="L24" s="305">
        <f>SUM(J24*K24)/100</f>
        <v>0</v>
      </c>
      <c r="M24" s="24">
        <f>SUM(J24,L24)</f>
        <v>49728.57</v>
      </c>
      <c r="N24" s="23"/>
      <c r="O24" s="23">
        <f>SUM($H$4*0.2)*N24</f>
        <v>0</v>
      </c>
      <c r="P24" s="23">
        <v>1</v>
      </c>
      <c r="Q24" s="23">
        <f>$H$4*0.2*P24</f>
        <v>3539.4</v>
      </c>
      <c r="R24" s="305">
        <v>1</v>
      </c>
      <c r="S24" s="23">
        <f>$H$4*0.3*R24</f>
        <v>5309.0999999999995</v>
      </c>
      <c r="T24" s="23"/>
      <c r="U24" s="23">
        <f>SUM($H$4*T24/100)</f>
        <v>0</v>
      </c>
      <c r="V24" s="23"/>
      <c r="W24" s="23">
        <f>SUM($H$4*H24/168*24)/6*V24</f>
        <v>0</v>
      </c>
      <c r="X24" s="23"/>
      <c r="Y24" s="23">
        <f>SUM($H$4*H24*I24*0.5/168*8)*X24</f>
        <v>0</v>
      </c>
      <c r="Z24" s="24">
        <f>SUM(J24*0.1)</f>
        <v>4972.857</v>
      </c>
      <c r="AA24" s="24">
        <f>SUM(L24,O24,Q24,S24,W24,U24,Z24,Y24)</f>
        <v>13821.357</v>
      </c>
      <c r="AB24" s="24">
        <f>SUM(J24+AA24)</f>
        <v>63549.926999999996</v>
      </c>
      <c r="AC24" s="609"/>
      <c r="AD24" s="24">
        <f>SUM(AB24*12)</f>
        <v>762599.12399999995</v>
      </c>
      <c r="AE24" s="51"/>
      <c r="AF24" s="51"/>
    </row>
    <row r="25" spans="1:32" ht="34.5" customHeight="1">
      <c r="A25" s="22">
        <v>2</v>
      </c>
      <c r="B25" s="23" t="s">
        <v>198</v>
      </c>
      <c r="C25" s="23" t="s">
        <v>196</v>
      </c>
      <c r="D25" s="23" t="s">
        <v>194</v>
      </c>
      <c r="E25" s="23" t="s">
        <v>195</v>
      </c>
      <c r="F25" s="23"/>
      <c r="G25" s="23">
        <v>11</v>
      </c>
      <c r="H25" s="371">
        <v>2.81</v>
      </c>
      <c r="I25" s="23">
        <v>1</v>
      </c>
      <c r="J25" s="60">
        <f>$H$4*H25*I25</f>
        <v>49728.57</v>
      </c>
      <c r="K25" s="23"/>
      <c r="L25" s="305">
        <f>SUM(J25*K25)/100</f>
        <v>0</v>
      </c>
      <c r="M25" s="24">
        <f>SUM(J25,L25)</f>
        <v>49728.57</v>
      </c>
      <c r="N25" s="23"/>
      <c r="O25" s="23">
        <f>SUM($H$4*0.2)*N25</f>
        <v>0</v>
      </c>
      <c r="P25" s="23"/>
      <c r="Q25" s="23">
        <f>$H$4*0.2*P25</f>
        <v>0</v>
      </c>
      <c r="R25" s="305"/>
      <c r="S25" s="23">
        <f>$H$4*0.3*R25</f>
        <v>0</v>
      </c>
      <c r="T25" s="23"/>
      <c r="U25" s="23">
        <f>SUM($H$4*T25/100)</f>
        <v>0</v>
      </c>
      <c r="V25" s="23">
        <v>3</v>
      </c>
      <c r="W25" s="24">
        <f>SUM($H$4*H25/168*12)/12*V25</f>
        <v>888.01017857142847</v>
      </c>
      <c r="X25" s="23">
        <v>15</v>
      </c>
      <c r="Y25" s="24">
        <f>SUM($H$4*H25*I25*0.5/168*8)*X25</f>
        <v>17760.20357142857</v>
      </c>
      <c r="Z25" s="24">
        <f>SUM(J25*0.1)</f>
        <v>4972.857</v>
      </c>
      <c r="AA25" s="24">
        <f>SUM(L25,O25,Q25,S25,W25,U25,Z25,Y25)</f>
        <v>23621.070749999999</v>
      </c>
      <c r="AB25" s="24">
        <f>SUM(J25+AA25)</f>
        <v>73349.640749999991</v>
      </c>
      <c r="AC25" s="609"/>
      <c r="AD25" s="24">
        <f>SUM(AB25*12)</f>
        <v>880195.6889999999</v>
      </c>
      <c r="AE25" s="51"/>
      <c r="AF25" s="51"/>
    </row>
    <row r="26" spans="1:32" ht="32.25" customHeight="1">
      <c r="A26" s="22">
        <v>3</v>
      </c>
      <c r="B26" s="27" t="s">
        <v>197</v>
      </c>
      <c r="C26" s="23" t="s">
        <v>196</v>
      </c>
      <c r="D26" s="23" t="s">
        <v>194</v>
      </c>
      <c r="E26" s="23" t="s">
        <v>195</v>
      </c>
      <c r="F26" s="23"/>
      <c r="G26" s="23">
        <v>10.039999999999999</v>
      </c>
      <c r="H26" s="371">
        <v>2.81</v>
      </c>
      <c r="I26" s="23">
        <v>1</v>
      </c>
      <c r="J26" s="60">
        <f>$H$4*H26*I26</f>
        <v>49728.57</v>
      </c>
      <c r="K26" s="23"/>
      <c r="L26" s="305">
        <f>SUM(J26*K26)/100</f>
        <v>0</v>
      </c>
      <c r="M26" s="24">
        <f>SUM(J26,L26)</f>
        <v>49728.57</v>
      </c>
      <c r="N26" s="23"/>
      <c r="O26" s="23">
        <f>SUM($H$4*0.2)*N26</f>
        <v>0</v>
      </c>
      <c r="P26" s="23"/>
      <c r="Q26" s="23">
        <f>$H$4*0.2*P26</f>
        <v>0</v>
      </c>
      <c r="R26" s="305"/>
      <c r="S26" s="23">
        <f>$H$4*0.3*R26</f>
        <v>0</v>
      </c>
      <c r="T26" s="23"/>
      <c r="U26" s="23">
        <f>SUM($H$4*T26/100)</f>
        <v>0</v>
      </c>
      <c r="V26" s="23"/>
      <c r="W26" s="24">
        <f>SUM($H$4*H26/168*24)/4*V26</f>
        <v>0</v>
      </c>
      <c r="X26" s="23">
        <v>15</v>
      </c>
      <c r="Y26" s="24">
        <f>SUM($H$4*H26*I26*0.5/168*8)*X26</f>
        <v>17760.20357142857</v>
      </c>
      <c r="Z26" s="24">
        <f>SUM(J26*0.1)</f>
        <v>4972.857</v>
      </c>
      <c r="AA26" s="24">
        <f>SUM(L26,O26,Q26,S26,W26,U26,Z26,Y26)</f>
        <v>22733.06057142857</v>
      </c>
      <c r="AB26" s="24">
        <f>SUM(J26+AA26)</f>
        <v>72461.63057142857</v>
      </c>
      <c r="AC26" s="609"/>
      <c r="AD26" s="24">
        <f>SUM(AB26*12)</f>
        <v>869539.56685714284</v>
      </c>
      <c r="AE26" s="51"/>
      <c r="AF26" s="51"/>
    </row>
    <row r="27" spans="1:32" ht="32.25" customHeight="1">
      <c r="A27" s="22">
        <v>4</v>
      </c>
      <c r="B27" s="27" t="s">
        <v>434</v>
      </c>
      <c r="C27" s="23" t="s">
        <v>200</v>
      </c>
      <c r="D27" s="23" t="s">
        <v>194</v>
      </c>
      <c r="E27" s="23" t="s">
        <v>195</v>
      </c>
      <c r="F27" s="23"/>
      <c r="G27" s="23">
        <v>9</v>
      </c>
      <c r="H27" s="371">
        <v>2.81</v>
      </c>
      <c r="I27" s="23">
        <v>1</v>
      </c>
      <c r="J27" s="60">
        <f>$H$4*H27*I27</f>
        <v>49728.57</v>
      </c>
      <c r="K27" s="23"/>
      <c r="L27" s="305">
        <f>SUM(J27*K27)/100</f>
        <v>0</v>
      </c>
      <c r="M27" s="24">
        <f>SUM(J27,L27)</f>
        <v>49728.57</v>
      </c>
      <c r="N27" s="23"/>
      <c r="O27" s="23">
        <f>SUM($H$4*0.2)*N27</f>
        <v>0</v>
      </c>
      <c r="P27" s="23">
        <v>1</v>
      </c>
      <c r="Q27" s="23">
        <f>$H$4*0.2*P27</f>
        <v>3539.4</v>
      </c>
      <c r="R27" s="305">
        <v>1</v>
      </c>
      <c r="S27" s="23">
        <f>$H$4*0.3*R27</f>
        <v>5309.0999999999995</v>
      </c>
      <c r="T27" s="23"/>
      <c r="U27" s="23">
        <f>SUM($H$4*T27/100)</f>
        <v>0</v>
      </c>
      <c r="V27" s="23"/>
      <c r="W27" s="23">
        <f>SUM($H$4*H27/168*24)/6*V27</f>
        <v>0</v>
      </c>
      <c r="X27" s="23"/>
      <c r="Y27" s="23">
        <f>SUM($H$4*H27*I27*0.5/168*8)*X27</f>
        <v>0</v>
      </c>
      <c r="Z27" s="24">
        <f>SUM(J27*0.1)</f>
        <v>4972.857</v>
      </c>
      <c r="AA27" s="24">
        <f>SUM(L27,O27,Q27,S27,W27,U27,Z27,Y27)</f>
        <v>13821.357</v>
      </c>
      <c r="AB27" s="24">
        <f>SUM(J27+AA27)</f>
        <v>63549.926999999996</v>
      </c>
      <c r="AC27" s="609"/>
      <c r="AD27" s="24">
        <f>SUM(AB27*12)</f>
        <v>762599.12399999995</v>
      </c>
      <c r="AE27" s="51"/>
      <c r="AF27" s="51"/>
    </row>
    <row r="28" spans="1:32" ht="32.25" customHeight="1">
      <c r="A28" s="22">
        <v>5</v>
      </c>
      <c r="B28" s="27" t="s">
        <v>453</v>
      </c>
      <c r="C28" s="23" t="s">
        <v>454</v>
      </c>
      <c r="D28" s="23" t="s">
        <v>194</v>
      </c>
      <c r="E28" s="23" t="s">
        <v>455</v>
      </c>
      <c r="F28" s="23"/>
      <c r="G28" s="23"/>
      <c r="H28" s="371">
        <v>2.81</v>
      </c>
      <c r="I28" s="23">
        <v>1</v>
      </c>
      <c r="J28" s="60">
        <f>$H$4*H28*I28</f>
        <v>49728.57</v>
      </c>
      <c r="K28" s="23"/>
      <c r="L28" s="305">
        <f>SUM(J28*K28)/100</f>
        <v>0</v>
      </c>
      <c r="M28" s="24">
        <f>SUM(J28,L28)</f>
        <v>49728.57</v>
      </c>
      <c r="N28" s="23"/>
      <c r="O28" s="23"/>
      <c r="P28" s="23"/>
      <c r="Q28" s="23"/>
      <c r="R28" s="305"/>
      <c r="S28" s="23"/>
      <c r="T28" s="23"/>
      <c r="U28" s="23"/>
      <c r="V28" s="23"/>
      <c r="W28" s="23"/>
      <c r="X28" s="23"/>
      <c r="Y28" s="23"/>
      <c r="Z28" s="24">
        <f>SUM(J28*0.1)</f>
        <v>4972.857</v>
      </c>
      <c r="AA28" s="24"/>
      <c r="AB28" s="24"/>
      <c r="AC28" s="609"/>
      <c r="AD28" s="24"/>
      <c r="AE28" s="51"/>
      <c r="AF28" s="51"/>
    </row>
    <row r="29" spans="1:32" ht="32.25" customHeight="1">
      <c r="A29" s="22"/>
      <c r="B29" s="20" t="s">
        <v>63</v>
      </c>
      <c r="C29" s="23"/>
      <c r="D29" s="23"/>
      <c r="E29" s="23"/>
      <c r="F29" s="23"/>
      <c r="G29" s="23"/>
      <c r="H29" s="25"/>
      <c r="I29" s="299">
        <f>SUM(I24:I28)</f>
        <v>5</v>
      </c>
      <c r="J29" s="299">
        <f>SUM(J24:J28)</f>
        <v>248642.85</v>
      </c>
      <c r="K29" s="299">
        <f t="shared" ref="K29:AF29" si="7">SUM(K24:K28)</f>
        <v>0</v>
      </c>
      <c r="L29" s="299">
        <f t="shared" si="7"/>
        <v>0</v>
      </c>
      <c r="M29" s="299">
        <f t="shared" si="7"/>
        <v>248642.85</v>
      </c>
      <c r="N29" s="299">
        <f t="shared" si="7"/>
        <v>0</v>
      </c>
      <c r="O29" s="299">
        <f t="shared" si="7"/>
        <v>0</v>
      </c>
      <c r="P29" s="299">
        <f t="shared" si="7"/>
        <v>2</v>
      </c>
      <c r="Q29" s="299">
        <f t="shared" si="7"/>
        <v>7078.8</v>
      </c>
      <c r="R29" s="299">
        <f t="shared" si="7"/>
        <v>2</v>
      </c>
      <c r="S29" s="299">
        <f t="shared" si="7"/>
        <v>10618.199999999999</v>
      </c>
      <c r="T29" s="299">
        <f t="shared" si="7"/>
        <v>0</v>
      </c>
      <c r="U29" s="299">
        <f t="shared" si="7"/>
        <v>0</v>
      </c>
      <c r="V29" s="299">
        <f t="shared" si="7"/>
        <v>3</v>
      </c>
      <c r="W29" s="299">
        <f t="shared" si="7"/>
        <v>888.01017857142847</v>
      </c>
      <c r="X29" s="299">
        <f t="shared" si="7"/>
        <v>30</v>
      </c>
      <c r="Y29" s="299">
        <f t="shared" si="7"/>
        <v>35520.407142857141</v>
      </c>
      <c r="Z29" s="299">
        <f t="shared" si="7"/>
        <v>24864.285</v>
      </c>
      <c r="AA29" s="299">
        <f t="shared" si="7"/>
        <v>73996.845321428569</v>
      </c>
      <c r="AB29" s="299">
        <f t="shared" si="7"/>
        <v>272911.12532142852</v>
      </c>
      <c r="AC29" s="299">
        <f t="shared" si="7"/>
        <v>0</v>
      </c>
      <c r="AD29" s="299">
        <f t="shared" si="7"/>
        <v>3274933.5038571423</v>
      </c>
      <c r="AE29" s="299">
        <f t="shared" si="7"/>
        <v>0</v>
      </c>
      <c r="AF29" s="299">
        <f t="shared" si="7"/>
        <v>0</v>
      </c>
    </row>
    <row r="30" spans="1:32" ht="20.100000000000001" customHeight="1">
      <c r="A30" s="28"/>
      <c r="B30" s="29" t="s">
        <v>42</v>
      </c>
      <c r="C30" s="28"/>
      <c r="D30" s="28"/>
      <c r="E30" s="28"/>
      <c r="F30" s="28"/>
      <c r="G30" s="28"/>
      <c r="H30" s="46"/>
      <c r="I30" s="30">
        <f t="shared" ref="I30:AF30" si="8">SUM(I13,I17,I20,I23,I29)</f>
        <v>10</v>
      </c>
      <c r="J30" s="30">
        <f t="shared" si="8"/>
        <v>659213.25</v>
      </c>
      <c r="K30" s="30">
        <f t="shared" si="8"/>
        <v>125</v>
      </c>
      <c r="L30" s="30">
        <f t="shared" si="8"/>
        <v>88551.36374999999</v>
      </c>
      <c r="M30" s="30">
        <f t="shared" si="8"/>
        <v>747764.61375000002</v>
      </c>
      <c r="N30" s="30">
        <f t="shared" si="8"/>
        <v>0</v>
      </c>
      <c r="O30" s="30">
        <f t="shared" si="8"/>
        <v>0</v>
      </c>
      <c r="P30" s="30">
        <f t="shared" si="8"/>
        <v>2</v>
      </c>
      <c r="Q30" s="30">
        <f t="shared" si="8"/>
        <v>7078.8</v>
      </c>
      <c r="R30" s="30">
        <f t="shared" si="8"/>
        <v>2</v>
      </c>
      <c r="S30" s="30">
        <f t="shared" si="8"/>
        <v>10618.199999999999</v>
      </c>
      <c r="T30" s="30">
        <f t="shared" si="8"/>
        <v>0</v>
      </c>
      <c r="U30" s="30">
        <f t="shared" si="8"/>
        <v>0</v>
      </c>
      <c r="V30" s="30">
        <f t="shared" si="8"/>
        <v>3</v>
      </c>
      <c r="W30" s="30">
        <f t="shared" si="8"/>
        <v>888.01017857142847</v>
      </c>
      <c r="X30" s="30">
        <f t="shared" si="8"/>
        <v>30</v>
      </c>
      <c r="Y30" s="30">
        <f t="shared" si="8"/>
        <v>35520.407142857141</v>
      </c>
      <c r="Z30" s="30">
        <f t="shared" si="8"/>
        <v>65921.324999999997</v>
      </c>
      <c r="AA30" s="30">
        <f t="shared" si="8"/>
        <v>203605.24907142858</v>
      </c>
      <c r="AB30" s="30">
        <f t="shared" si="8"/>
        <v>813089.92907142849</v>
      </c>
      <c r="AC30" s="30">
        <f t="shared" si="8"/>
        <v>119544.3410625</v>
      </c>
      <c r="AD30" s="30">
        <f t="shared" si="8"/>
        <v>9757079.1488571428</v>
      </c>
      <c r="AE30" s="30">
        <f t="shared" si="8"/>
        <v>4</v>
      </c>
      <c r="AF30" s="30">
        <f t="shared" si="8"/>
        <v>400350.38250000001</v>
      </c>
    </row>
    <row r="31" spans="1:32" ht="18">
      <c r="A31" s="15"/>
      <c r="B31" s="15"/>
      <c r="C31" s="15"/>
      <c r="D31" s="15"/>
      <c r="E31" s="15"/>
      <c r="F31" s="15"/>
      <c r="G31" s="15"/>
      <c r="H31" s="4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618"/>
      <c r="AD31" s="15"/>
    </row>
    <row r="32" spans="1:32" ht="18">
      <c r="A32" s="31"/>
      <c r="B32" s="32"/>
      <c r="C32" s="95" t="s">
        <v>95</v>
      </c>
      <c r="D32" s="95"/>
      <c r="E32" s="95"/>
      <c r="F32" s="95"/>
      <c r="G32" s="33"/>
      <c r="H32" s="328" t="s">
        <v>145</v>
      </c>
      <c r="I32" s="95"/>
      <c r="J32" s="95"/>
      <c r="K32" s="95"/>
      <c r="L32" s="95"/>
      <c r="M32" s="95"/>
      <c r="N32" s="95"/>
      <c r="O32" s="32"/>
      <c r="P32" s="294" t="s">
        <v>349</v>
      </c>
      <c r="Q32" s="95"/>
      <c r="R32" s="32"/>
      <c r="S32" s="34"/>
      <c r="T32" s="34"/>
      <c r="U32" s="34"/>
      <c r="V32" s="34"/>
      <c r="W32" s="34"/>
      <c r="X32" s="34" t="s">
        <v>348</v>
      </c>
      <c r="Y32" s="32"/>
      <c r="Z32" s="32"/>
      <c r="AA32" s="32"/>
      <c r="AB32" s="32"/>
      <c r="AC32" s="618"/>
      <c r="AD32" s="32"/>
    </row>
    <row r="33" spans="1:30" ht="18">
      <c r="A33" s="31"/>
      <c r="B33" s="32"/>
      <c r="C33" s="95"/>
      <c r="D33" s="95"/>
      <c r="E33" s="95"/>
      <c r="F33" s="95"/>
      <c r="G33" s="33"/>
      <c r="H33" s="328"/>
      <c r="I33" s="95"/>
      <c r="J33" s="95"/>
      <c r="K33" s="95"/>
      <c r="L33" s="95"/>
      <c r="M33" s="95"/>
      <c r="N33" s="95"/>
      <c r="O33" s="32"/>
      <c r="P33" s="95"/>
      <c r="Q33" s="95"/>
      <c r="R33" s="32"/>
      <c r="S33" s="34"/>
      <c r="T33" s="34"/>
      <c r="U33" s="34"/>
      <c r="V33" s="34"/>
      <c r="W33" s="34"/>
      <c r="X33" s="34"/>
      <c r="Y33" s="32"/>
      <c r="Z33" s="32"/>
      <c r="AA33" s="32"/>
      <c r="AB33" s="32"/>
      <c r="AC33" s="605"/>
      <c r="AD33" s="32"/>
    </row>
    <row r="34" spans="1:30" ht="18">
      <c r="A34" s="31"/>
      <c r="B34" s="32"/>
      <c r="C34" s="33" t="s">
        <v>96</v>
      </c>
      <c r="D34" s="33"/>
      <c r="E34" s="33"/>
      <c r="F34" s="95"/>
      <c r="G34" s="33"/>
      <c r="H34" s="328" t="s">
        <v>147</v>
      </c>
      <c r="I34" s="95"/>
      <c r="J34" s="95"/>
      <c r="K34" s="95"/>
      <c r="L34" s="95"/>
      <c r="M34" s="95"/>
      <c r="N34" s="95"/>
      <c r="O34" s="32"/>
      <c r="P34" s="95" t="s">
        <v>376</v>
      </c>
      <c r="Q34" s="95"/>
      <c r="R34" s="32"/>
      <c r="S34" s="34"/>
      <c r="T34" s="34"/>
      <c r="U34" s="34"/>
      <c r="V34" s="34"/>
      <c r="W34" s="34"/>
      <c r="X34" s="34" t="s">
        <v>374</v>
      </c>
      <c r="Y34" s="32"/>
      <c r="Z34" s="32"/>
      <c r="AA34" s="32"/>
      <c r="AB34" s="32"/>
      <c r="AC34" s="32"/>
      <c r="AD34" s="32"/>
    </row>
    <row r="35" spans="1:30" ht="18">
      <c r="A35" s="31"/>
      <c r="B35" s="32"/>
      <c r="C35" s="33"/>
      <c r="D35" s="33"/>
      <c r="E35" s="33"/>
      <c r="F35" s="33"/>
      <c r="G35" s="33"/>
      <c r="H35" s="328"/>
      <c r="I35" s="95"/>
      <c r="J35" s="95"/>
      <c r="K35" s="95"/>
      <c r="L35" s="95"/>
      <c r="M35" s="95"/>
      <c r="N35" s="95"/>
      <c r="O35" s="32"/>
      <c r="P35" s="95"/>
      <c r="Q35" s="95"/>
      <c r="R35" s="32"/>
      <c r="S35" s="34"/>
      <c r="T35" s="34"/>
      <c r="U35" s="34"/>
      <c r="V35" s="34"/>
      <c r="W35" s="34"/>
      <c r="X35" s="34"/>
      <c r="Y35" s="32"/>
      <c r="Z35" s="32"/>
      <c r="AA35" s="32"/>
      <c r="AB35" s="32"/>
      <c r="AC35" s="32"/>
      <c r="AD35" s="32"/>
    </row>
    <row r="36" spans="1:30" ht="18">
      <c r="A36" s="31"/>
      <c r="B36" s="32"/>
      <c r="C36" s="33" t="s">
        <v>97</v>
      </c>
      <c r="D36" s="33"/>
      <c r="E36" s="33"/>
      <c r="F36" s="95"/>
      <c r="G36" s="33"/>
      <c r="H36" s="329" t="s">
        <v>344</v>
      </c>
      <c r="I36" s="139"/>
      <c r="J36" s="95"/>
      <c r="K36" s="95"/>
      <c r="L36" s="95"/>
      <c r="M36" s="95"/>
      <c r="N36" s="95"/>
      <c r="O36" s="32"/>
      <c r="P36" s="719" t="s">
        <v>45</v>
      </c>
      <c r="Q36" s="719"/>
      <c r="R36" s="32"/>
      <c r="S36" s="34"/>
      <c r="T36" s="34"/>
      <c r="U36" s="34"/>
      <c r="V36" s="34"/>
      <c r="W36" s="95"/>
      <c r="X36" s="301" t="s">
        <v>46</v>
      </c>
      <c r="Y36" s="32"/>
      <c r="Z36" s="32"/>
      <c r="AA36" s="32"/>
      <c r="AB36" s="32"/>
      <c r="AC36" s="32"/>
      <c r="AD36" s="32"/>
    </row>
    <row r="37" spans="1:30" ht="18">
      <c r="A37" s="35"/>
      <c r="B37" s="36"/>
      <c r="C37" s="36"/>
      <c r="D37" s="36"/>
      <c r="E37" s="36"/>
      <c r="F37" s="36"/>
      <c r="G37" s="36"/>
      <c r="H37" s="47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2"/>
      <c r="AD37" s="36"/>
    </row>
    <row r="38" spans="1:30" ht="18" customHeight="1">
      <c r="A38" s="35"/>
      <c r="B38" s="36"/>
      <c r="C38" s="36"/>
      <c r="D38" s="36"/>
      <c r="E38" s="36"/>
      <c r="F38" s="36"/>
      <c r="G38" s="36"/>
      <c r="H38" s="47"/>
      <c r="I38" s="36"/>
      <c r="J38" s="36"/>
      <c r="K38" s="36"/>
      <c r="L38" s="36"/>
      <c r="M38" s="36"/>
      <c r="N38" s="36"/>
      <c r="O38" s="36"/>
      <c r="P38" s="717" t="s">
        <v>295</v>
      </c>
      <c r="Q38" s="717"/>
      <c r="R38" s="36"/>
      <c r="S38" s="36"/>
      <c r="T38" s="36"/>
      <c r="U38" s="36"/>
      <c r="V38" s="36"/>
      <c r="W38" s="34"/>
      <c r="X38" s="34" t="s">
        <v>296</v>
      </c>
      <c r="Y38" s="36"/>
      <c r="Z38" s="36"/>
      <c r="AA38" s="36"/>
      <c r="AB38" s="36"/>
      <c r="AC38" s="32"/>
      <c r="AD38" s="36"/>
    </row>
    <row r="39" spans="1:30" ht="18">
      <c r="A39" s="35"/>
      <c r="B39" s="36"/>
      <c r="C39" s="36"/>
      <c r="D39" s="36"/>
      <c r="E39" s="36"/>
      <c r="F39" s="36"/>
      <c r="G39" s="36"/>
      <c r="H39" s="47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1:30" ht="18">
      <c r="A40" s="35"/>
      <c r="B40" s="36"/>
      <c r="C40" s="36"/>
      <c r="D40" s="36"/>
      <c r="E40" s="36"/>
      <c r="F40" s="36"/>
      <c r="G40" s="36"/>
      <c r="H40" s="47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605"/>
      <c r="AD40" s="36"/>
    </row>
    <row r="41" spans="1:30" ht="18">
      <c r="A41" s="35"/>
      <c r="B41" s="36"/>
      <c r="C41" s="36"/>
      <c r="D41" s="36"/>
      <c r="E41" s="36"/>
      <c r="F41" s="36"/>
      <c r="G41" s="36"/>
      <c r="H41" s="47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2"/>
      <c r="AD41" s="36"/>
    </row>
    <row r="42" spans="1:30" ht="18">
      <c r="A42" s="1"/>
      <c r="B42" s="2"/>
      <c r="C42" s="2"/>
      <c r="D42" s="2"/>
      <c r="E42" s="2"/>
      <c r="F42" s="2"/>
      <c r="G42" s="2"/>
      <c r="H42" s="4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610"/>
      <c r="AD42" s="2"/>
    </row>
    <row r="43" spans="1:30" ht="18">
      <c r="AC43" s="32"/>
    </row>
    <row r="44" spans="1:30" ht="18">
      <c r="AC44" s="32"/>
    </row>
    <row r="45" spans="1:30" ht="18">
      <c r="AC45" s="32"/>
    </row>
    <row r="46" spans="1:30" ht="18">
      <c r="AC46" s="36"/>
    </row>
    <row r="47" spans="1:30" ht="18">
      <c r="AC47" s="36"/>
    </row>
    <row r="48" spans="1:30" ht="18">
      <c r="AC48" s="36"/>
    </row>
    <row r="49" spans="29:29" ht="18">
      <c r="AC49" s="36"/>
    </row>
    <row r="50" spans="29:29" ht="18">
      <c r="AC50" s="36"/>
    </row>
    <row r="51" spans="29:29" ht="15">
      <c r="AC51" s="2"/>
    </row>
  </sheetData>
  <mergeCells count="31">
    <mergeCell ref="AE5:AF6"/>
    <mergeCell ref="M5:M7"/>
    <mergeCell ref="B1:D1"/>
    <mergeCell ref="B2:L2"/>
    <mergeCell ref="B3:F3"/>
    <mergeCell ref="J4:L4"/>
    <mergeCell ref="L3:U3"/>
    <mergeCell ref="AD5:AD7"/>
    <mergeCell ref="X6:Y6"/>
    <mergeCell ref="AA6:AA7"/>
    <mergeCell ref="T6:U6"/>
    <mergeCell ref="R6:S6"/>
    <mergeCell ref="V6:W6"/>
    <mergeCell ref="AB5:AB7"/>
    <mergeCell ref="N5:AA5"/>
    <mergeCell ref="P38:Q38"/>
    <mergeCell ref="A5:A7"/>
    <mergeCell ref="B5:B7"/>
    <mergeCell ref="C5:C7"/>
    <mergeCell ref="D5:D7"/>
    <mergeCell ref="E5:F5"/>
    <mergeCell ref="P36:Q36"/>
    <mergeCell ref="E6:E7"/>
    <mergeCell ref="F6:F7"/>
    <mergeCell ref="N6:O6"/>
    <mergeCell ref="P6:Q6"/>
    <mergeCell ref="G5:G7"/>
    <mergeCell ref="H5:H7"/>
    <mergeCell ref="I5:I7"/>
    <mergeCell ref="J5:J7"/>
    <mergeCell ref="K5:L6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6"/>
  <sheetViews>
    <sheetView view="pageBreakPreview" topLeftCell="B14" zoomScale="84" zoomScaleNormal="80" zoomScaleSheetLayoutView="84" workbookViewId="0">
      <selection activeCell="I35" sqref="I35:BI35"/>
    </sheetView>
  </sheetViews>
  <sheetFormatPr defaultColWidth="9.140625" defaultRowHeight="15.75"/>
  <cols>
    <col min="1" max="1" width="7.28515625" style="64" customWidth="1"/>
    <col min="2" max="2" width="28.85546875" style="119" customWidth="1"/>
    <col min="3" max="3" width="20.42578125" style="287" customWidth="1"/>
    <col min="4" max="4" width="9.5703125" style="64" customWidth="1"/>
    <col min="5" max="5" width="9.85546875" style="64" customWidth="1"/>
    <col min="6" max="6" width="8.85546875" style="64" customWidth="1"/>
    <col min="7" max="7" width="8.7109375" style="64" customWidth="1"/>
    <col min="8" max="8" width="9.85546875" style="287" customWidth="1"/>
    <col min="9" max="9" width="14.85546875" style="64" customWidth="1"/>
    <col min="10" max="10" width="8" style="64" customWidth="1"/>
    <col min="11" max="11" width="5.42578125" style="64" customWidth="1"/>
    <col min="12" max="12" width="8.140625" style="64" customWidth="1"/>
    <col min="13" max="13" width="9.28515625" style="64" customWidth="1"/>
    <col min="14" max="14" width="5.42578125" style="64" customWidth="1"/>
    <col min="15" max="15" width="8.28515625" style="64" customWidth="1"/>
    <col min="16" max="16" width="14.7109375" style="64" customWidth="1"/>
    <col min="17" max="17" width="5.7109375" style="64" customWidth="1"/>
    <col min="18" max="18" width="11.7109375" style="64" customWidth="1"/>
    <col min="19" max="19" width="15.5703125" style="64" customWidth="1"/>
    <col min="20" max="20" width="5.42578125" style="64" customWidth="1"/>
    <col min="21" max="21" width="13" style="64" customWidth="1"/>
    <col min="22" max="22" width="6.42578125" style="64" customWidth="1"/>
    <col min="23" max="23" width="5.5703125" style="64" customWidth="1"/>
    <col min="24" max="24" width="14.42578125" style="64" customWidth="1"/>
    <col min="25" max="25" width="11.5703125" style="64" hidden="1" customWidth="1"/>
    <col min="26" max="26" width="14.5703125" style="64" hidden="1" customWidth="1"/>
    <col min="27" max="27" width="10.42578125" style="64" hidden="1" customWidth="1"/>
    <col min="28" max="28" width="14.85546875" style="64" hidden="1" customWidth="1"/>
    <col min="29" max="29" width="8.7109375" style="64" hidden="1" customWidth="1"/>
    <col min="30" max="30" width="13.140625" style="64" hidden="1" customWidth="1"/>
    <col min="31" max="31" width="10" style="64" hidden="1" customWidth="1"/>
    <col min="32" max="32" width="14.42578125" style="64" hidden="1" customWidth="1"/>
    <col min="33" max="33" width="10.42578125" style="64" hidden="1" customWidth="1"/>
    <col min="34" max="34" width="14.42578125" style="64" hidden="1" customWidth="1"/>
    <col min="35" max="35" width="8.5703125" style="64" hidden="1" customWidth="1"/>
    <col min="36" max="36" width="13" style="64" hidden="1" customWidth="1"/>
    <col min="37" max="37" width="10.28515625" style="64" hidden="1" customWidth="1"/>
    <col min="38" max="38" width="15.28515625" style="64" hidden="1" customWidth="1"/>
    <col min="39" max="39" width="7.85546875" style="64" hidden="1" customWidth="1"/>
    <col min="40" max="40" width="15" style="64" hidden="1" customWidth="1"/>
    <col min="41" max="41" width="9.5703125" style="64" hidden="1" customWidth="1"/>
    <col min="42" max="42" width="15" style="64" hidden="1" customWidth="1"/>
    <col min="43" max="43" width="0.140625" style="64" hidden="1" customWidth="1"/>
    <col min="44" max="44" width="13.42578125" style="64" hidden="1" customWidth="1"/>
    <col min="45" max="45" width="8.85546875" style="64" hidden="1" customWidth="1"/>
    <col min="46" max="46" width="14.28515625" style="64" hidden="1" customWidth="1"/>
    <col min="47" max="47" width="7.28515625" style="64" hidden="1" customWidth="1"/>
    <col min="48" max="48" width="13.140625" style="64" hidden="1" customWidth="1"/>
    <col min="49" max="49" width="9.42578125" style="64" hidden="1" customWidth="1"/>
    <col min="50" max="50" width="13.28515625" style="64" hidden="1" customWidth="1"/>
    <col min="51" max="51" width="11.42578125" style="64" hidden="1" customWidth="1"/>
    <col min="52" max="52" width="16.7109375" style="64" hidden="1" customWidth="1"/>
    <col min="53" max="53" width="17.85546875" style="64" hidden="1" customWidth="1"/>
    <col min="54" max="54" width="12.85546875" style="64" hidden="1" customWidth="1"/>
    <col min="55" max="55" width="9.140625" style="64" hidden="1" customWidth="1"/>
    <col min="56" max="56" width="0.140625" style="64" customWidth="1"/>
    <col min="57" max="57" width="8.28515625" style="64" customWidth="1"/>
    <col min="58" max="58" width="12" style="64" customWidth="1"/>
    <col min="59" max="59" width="11.5703125" style="64" customWidth="1"/>
    <col min="60" max="60" width="12.28515625" style="64" customWidth="1"/>
    <col min="61" max="61" width="12.85546875" style="64" customWidth="1"/>
    <col min="62" max="16384" width="9.140625" style="64"/>
  </cols>
  <sheetData>
    <row r="1" spans="1:61">
      <c r="A1" s="1"/>
      <c r="B1" s="697" t="s">
        <v>0</v>
      </c>
      <c r="C1" s="697"/>
      <c r="D1" s="697"/>
      <c r="E1" s="1"/>
      <c r="F1" s="1"/>
      <c r="G1" s="1"/>
      <c r="H1" s="4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4"/>
      <c r="W1" s="1"/>
      <c r="X1" s="1"/>
      <c r="Y1" s="1"/>
      <c r="Z1" s="1"/>
      <c r="AA1" s="1"/>
      <c r="AB1" s="1"/>
      <c r="AC1" s="1"/>
      <c r="AD1" s="14"/>
      <c r="AE1" s="1"/>
      <c r="AF1" s="1"/>
      <c r="AG1" s="1"/>
      <c r="AH1" s="1"/>
      <c r="AI1" s="1"/>
      <c r="AJ1" s="1"/>
      <c r="AK1" s="1"/>
      <c r="AL1" s="1"/>
      <c r="AM1" s="14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27.75" customHeight="1">
      <c r="A2" s="1"/>
      <c r="B2" s="698" t="s">
        <v>437</v>
      </c>
      <c r="C2" s="698"/>
      <c r="D2" s="698"/>
      <c r="E2" s="699"/>
      <c r="F2" s="699"/>
      <c r="G2" s="699"/>
      <c r="H2" s="699"/>
      <c r="I2" s="699"/>
      <c r="J2" s="699"/>
      <c r="K2" s="699"/>
      <c r="L2" s="91"/>
      <c r="M2" s="1"/>
      <c r="N2" s="1"/>
      <c r="O2" s="1"/>
      <c r="P2" s="1"/>
      <c r="Q2" s="1"/>
      <c r="R2" s="1"/>
      <c r="S2" s="1"/>
      <c r="T2" s="1"/>
      <c r="U2" s="1"/>
      <c r="V2" s="14"/>
      <c r="W2" s="1"/>
      <c r="X2" s="1"/>
      <c r="Y2" s="1"/>
      <c r="Z2" s="1"/>
      <c r="AA2" s="1"/>
      <c r="AB2" s="1"/>
      <c r="AC2" s="1"/>
      <c r="AD2" s="14"/>
      <c r="AE2" s="1"/>
      <c r="AF2" s="1"/>
      <c r="AG2" s="1"/>
      <c r="AH2" s="1"/>
      <c r="AI2" s="1"/>
      <c r="AJ2" s="1"/>
      <c r="AK2" s="1"/>
      <c r="AL2" s="1"/>
      <c r="AM2" s="14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>
      <c r="A3" s="1"/>
      <c r="B3" s="697" t="s">
        <v>412</v>
      </c>
      <c r="C3" s="697"/>
      <c r="D3" s="697"/>
      <c r="E3" s="700"/>
      <c r="F3" s="700"/>
      <c r="G3" s="1"/>
      <c r="H3" s="44"/>
      <c r="I3" s="1"/>
      <c r="J3" s="1"/>
      <c r="K3" s="701" t="s">
        <v>449</v>
      </c>
      <c r="L3" s="701"/>
      <c r="M3" s="701"/>
      <c r="N3" s="701"/>
      <c r="O3" s="701"/>
      <c r="P3" s="701"/>
      <c r="Q3" s="701"/>
      <c r="R3" s="701"/>
      <c r="S3" s="701"/>
      <c r="T3" s="701"/>
      <c r="U3" s="1"/>
      <c r="V3" s="14"/>
      <c r="W3" s="1"/>
      <c r="X3" s="1"/>
      <c r="Y3" s="1"/>
      <c r="Z3" s="1"/>
      <c r="AA3" s="1"/>
      <c r="AB3" s="1"/>
      <c r="AC3" s="1"/>
      <c r="AD3" s="14"/>
      <c r="AE3" s="1"/>
      <c r="AF3" s="1"/>
      <c r="AG3" s="1"/>
      <c r="AH3" s="1"/>
      <c r="AI3" s="1"/>
      <c r="AJ3" s="1"/>
      <c r="AK3" s="1"/>
      <c r="AL3" s="1"/>
      <c r="AM3" s="14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>
      <c r="A4" s="3"/>
      <c r="B4" s="138"/>
      <c r="C4" s="336"/>
      <c r="D4" s="3"/>
      <c r="E4" s="3"/>
      <c r="F4" s="3"/>
      <c r="G4" s="3" t="s">
        <v>1</v>
      </c>
      <c r="H4" s="331">
        <v>17697</v>
      </c>
      <c r="I4" s="3"/>
      <c r="J4" s="3"/>
      <c r="K4" s="702"/>
      <c r="L4" s="702"/>
      <c r="M4" s="702"/>
      <c r="N4" s="702"/>
      <c r="O4" s="702"/>
      <c r="P4" s="702"/>
      <c r="Q4" s="702"/>
      <c r="R4" s="702"/>
      <c r="S4" s="702"/>
      <c r="T4" s="702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</row>
    <row r="5" spans="1:61" ht="15" customHeight="1">
      <c r="A5" s="742" t="s">
        <v>2</v>
      </c>
      <c r="B5" s="704" t="s">
        <v>3</v>
      </c>
      <c r="C5" s="745" t="s">
        <v>4</v>
      </c>
      <c r="D5" s="695" t="s">
        <v>5</v>
      </c>
      <c r="E5" s="695" t="s">
        <v>6</v>
      </c>
      <c r="F5" s="695"/>
      <c r="G5" s="93"/>
      <c r="H5" s="89"/>
      <c r="I5" s="696" t="s">
        <v>7</v>
      </c>
      <c r="J5" s="696"/>
      <c r="K5" s="696"/>
      <c r="L5" s="696"/>
      <c r="M5" s="696"/>
      <c r="N5" s="696"/>
      <c r="O5" s="696"/>
      <c r="P5" s="696" t="s">
        <v>8</v>
      </c>
      <c r="Q5" s="696"/>
      <c r="R5" s="696"/>
      <c r="S5" s="696"/>
      <c r="T5" s="696"/>
      <c r="U5" s="696"/>
      <c r="V5" s="81" t="s">
        <v>66</v>
      </c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3"/>
      <c r="BH5" s="695" t="s">
        <v>9</v>
      </c>
      <c r="BI5" s="695" t="s">
        <v>10</v>
      </c>
    </row>
    <row r="6" spans="1:61" ht="97.5" customHeight="1">
      <c r="A6" s="743"/>
      <c r="B6" s="704"/>
      <c r="C6" s="745"/>
      <c r="D6" s="695"/>
      <c r="E6" s="695" t="s">
        <v>11</v>
      </c>
      <c r="F6" s="695" t="s">
        <v>12</v>
      </c>
      <c r="G6" s="695" t="s">
        <v>13</v>
      </c>
      <c r="H6" s="705" t="s">
        <v>14</v>
      </c>
      <c r="I6" s="696" t="s">
        <v>15</v>
      </c>
      <c r="J6" s="696" t="s">
        <v>16</v>
      </c>
      <c r="K6" s="696"/>
      <c r="L6" s="696"/>
      <c r="M6" s="696"/>
      <c r="N6" s="696"/>
      <c r="O6" s="696"/>
      <c r="P6" s="696"/>
      <c r="Q6" s="696"/>
      <c r="R6" s="696"/>
      <c r="S6" s="696"/>
      <c r="T6" s="696"/>
      <c r="U6" s="696"/>
      <c r="V6" s="711" t="s">
        <v>67</v>
      </c>
      <c r="W6" s="713"/>
      <c r="X6" s="714"/>
      <c r="Y6" s="696" t="s">
        <v>17</v>
      </c>
      <c r="Z6" s="696"/>
      <c r="AA6" s="696"/>
      <c r="AB6" s="696"/>
      <c r="AC6" s="696"/>
      <c r="AD6" s="696"/>
      <c r="AE6" s="696"/>
      <c r="AF6" s="696"/>
      <c r="AG6" s="696"/>
      <c r="AH6" s="696"/>
      <c r="AI6" s="696"/>
      <c r="AJ6" s="696"/>
      <c r="AK6" s="696"/>
      <c r="AL6" s="93"/>
      <c r="AM6" s="696" t="s">
        <v>18</v>
      </c>
      <c r="AN6" s="696"/>
      <c r="AO6" s="696"/>
      <c r="AP6" s="696"/>
      <c r="AQ6" s="696" t="s">
        <v>64</v>
      </c>
      <c r="AR6" s="696"/>
      <c r="AS6" s="711" t="s">
        <v>69</v>
      </c>
      <c r="AT6" s="713"/>
      <c r="AU6" s="711" t="s">
        <v>70</v>
      </c>
      <c r="AV6" s="713"/>
      <c r="AW6" s="711" t="s">
        <v>71</v>
      </c>
      <c r="AX6" s="713"/>
      <c r="AY6" s="696" t="s">
        <v>65</v>
      </c>
      <c r="AZ6" s="696"/>
      <c r="BA6" s="696" t="s">
        <v>19</v>
      </c>
      <c r="BB6" s="696"/>
      <c r="BC6" s="696" t="s">
        <v>20</v>
      </c>
      <c r="BD6" s="696"/>
      <c r="BE6" s="711" t="s">
        <v>136</v>
      </c>
      <c r="BF6" s="713"/>
      <c r="BG6" s="696" t="s">
        <v>21</v>
      </c>
      <c r="BH6" s="695"/>
      <c r="BI6" s="695"/>
    </row>
    <row r="7" spans="1:61" ht="150">
      <c r="A7" s="744"/>
      <c r="B7" s="704"/>
      <c r="C7" s="745"/>
      <c r="D7" s="695"/>
      <c r="E7" s="695"/>
      <c r="F7" s="695"/>
      <c r="G7" s="695"/>
      <c r="H7" s="705"/>
      <c r="I7" s="696"/>
      <c r="J7" s="93" t="s">
        <v>22</v>
      </c>
      <c r="K7" s="93" t="s">
        <v>23</v>
      </c>
      <c r="L7" s="89" t="s">
        <v>39</v>
      </c>
      <c r="M7" s="89" t="s">
        <v>35</v>
      </c>
      <c r="N7" s="89" t="s">
        <v>302</v>
      </c>
      <c r="O7" s="93" t="s">
        <v>27</v>
      </c>
      <c r="P7" s="93" t="s">
        <v>22</v>
      </c>
      <c r="Q7" s="93" t="s">
        <v>23</v>
      </c>
      <c r="R7" s="300" t="s">
        <v>39</v>
      </c>
      <c r="S7" s="300" t="s">
        <v>35</v>
      </c>
      <c r="T7" s="300" t="s">
        <v>302</v>
      </c>
      <c r="U7" s="93" t="s">
        <v>28</v>
      </c>
      <c r="V7" s="93" t="s">
        <v>29</v>
      </c>
      <c r="W7" s="66" t="s">
        <v>30</v>
      </c>
      <c r="X7" s="714"/>
      <c r="Y7" s="93" t="s">
        <v>31</v>
      </c>
      <c r="Z7" s="93" t="s">
        <v>32</v>
      </c>
      <c r="AA7" s="93" t="s">
        <v>31</v>
      </c>
      <c r="AB7" s="93" t="s">
        <v>33</v>
      </c>
      <c r="AC7" s="93" t="s">
        <v>31</v>
      </c>
      <c r="AD7" s="93" t="s">
        <v>34</v>
      </c>
      <c r="AE7" s="93" t="s">
        <v>31</v>
      </c>
      <c r="AF7" s="93" t="s">
        <v>24</v>
      </c>
      <c r="AG7" s="93" t="s">
        <v>31</v>
      </c>
      <c r="AH7" s="93" t="s">
        <v>35</v>
      </c>
      <c r="AI7" s="93" t="s">
        <v>31</v>
      </c>
      <c r="AJ7" s="93" t="s">
        <v>26</v>
      </c>
      <c r="AK7" s="67" t="s">
        <v>36</v>
      </c>
      <c r="AL7" s="93" t="s">
        <v>37</v>
      </c>
      <c r="AM7" s="93" t="s">
        <v>38</v>
      </c>
      <c r="AN7" s="93" t="s">
        <v>39</v>
      </c>
      <c r="AO7" s="93" t="s">
        <v>38</v>
      </c>
      <c r="AP7" s="68" t="s">
        <v>40</v>
      </c>
      <c r="AQ7" s="93" t="s">
        <v>38</v>
      </c>
      <c r="AR7" s="93" t="s">
        <v>30</v>
      </c>
      <c r="AS7" s="93" t="s">
        <v>68</v>
      </c>
      <c r="AT7" s="93" t="s">
        <v>30</v>
      </c>
      <c r="AU7" s="93" t="s">
        <v>68</v>
      </c>
      <c r="AV7" s="93" t="s">
        <v>30</v>
      </c>
      <c r="AW7" s="93" t="s">
        <v>68</v>
      </c>
      <c r="AX7" s="93" t="s">
        <v>30</v>
      </c>
      <c r="AY7" s="93" t="s">
        <v>38</v>
      </c>
      <c r="AZ7" s="93" t="s">
        <v>30</v>
      </c>
      <c r="BA7" s="93" t="s">
        <v>41</v>
      </c>
      <c r="BB7" s="93" t="s">
        <v>30</v>
      </c>
      <c r="BC7" s="93" t="s">
        <v>29</v>
      </c>
      <c r="BD7" s="93" t="s">
        <v>30</v>
      </c>
      <c r="BE7" s="94" t="s">
        <v>134</v>
      </c>
      <c r="BF7" s="93" t="s">
        <v>30</v>
      </c>
      <c r="BG7" s="696"/>
      <c r="BH7" s="695"/>
      <c r="BI7" s="695"/>
    </row>
    <row r="8" spans="1:61">
      <c r="A8" s="92">
        <v>1</v>
      </c>
      <c r="B8" s="275">
        <v>2</v>
      </c>
      <c r="C8" s="330">
        <v>3</v>
      </c>
      <c r="D8" s="92">
        <v>4</v>
      </c>
      <c r="E8" s="92">
        <v>5</v>
      </c>
      <c r="F8" s="92">
        <v>6</v>
      </c>
      <c r="G8" s="92">
        <v>7</v>
      </c>
      <c r="H8" s="330">
        <v>8</v>
      </c>
      <c r="I8" s="92">
        <v>9</v>
      </c>
      <c r="J8" s="92">
        <v>10</v>
      </c>
      <c r="K8" s="92">
        <v>11</v>
      </c>
      <c r="L8" s="92">
        <v>12</v>
      </c>
      <c r="M8" s="92">
        <v>13</v>
      </c>
      <c r="N8" s="92">
        <v>14</v>
      </c>
      <c r="O8" s="92">
        <v>15</v>
      </c>
      <c r="P8" s="92">
        <v>16</v>
      </c>
      <c r="Q8" s="92">
        <v>17</v>
      </c>
      <c r="R8" s="92">
        <v>18</v>
      </c>
      <c r="S8" s="92">
        <v>19</v>
      </c>
      <c r="T8" s="92">
        <v>20</v>
      </c>
      <c r="U8" s="92">
        <v>21</v>
      </c>
      <c r="V8" s="92">
        <v>22</v>
      </c>
      <c r="W8" s="92">
        <v>23</v>
      </c>
      <c r="X8" s="92">
        <v>24</v>
      </c>
      <c r="Y8" s="92">
        <v>25</v>
      </c>
      <c r="Z8" s="92">
        <v>26</v>
      </c>
      <c r="AA8" s="92">
        <v>27</v>
      </c>
      <c r="AB8" s="92">
        <v>28</v>
      </c>
      <c r="AC8" s="92">
        <v>29</v>
      </c>
      <c r="AD8" s="92">
        <v>30</v>
      </c>
      <c r="AE8" s="92">
        <v>31</v>
      </c>
      <c r="AF8" s="92">
        <v>32</v>
      </c>
      <c r="AG8" s="92">
        <v>33</v>
      </c>
      <c r="AH8" s="92">
        <v>34</v>
      </c>
      <c r="AI8" s="92">
        <v>35</v>
      </c>
      <c r="AJ8" s="92">
        <v>36</v>
      </c>
      <c r="AK8" s="92">
        <v>37</v>
      </c>
      <c r="AL8" s="92">
        <v>38</v>
      </c>
      <c r="AM8" s="92">
        <v>39</v>
      </c>
      <c r="AN8" s="92">
        <v>40</v>
      </c>
      <c r="AO8" s="92">
        <v>41</v>
      </c>
      <c r="AP8" s="92">
        <v>42</v>
      </c>
      <c r="AQ8" s="92">
        <v>43</v>
      </c>
      <c r="AR8" s="92">
        <v>44</v>
      </c>
      <c r="AS8" s="92">
        <v>45</v>
      </c>
      <c r="AT8" s="92">
        <v>46</v>
      </c>
      <c r="AU8" s="92">
        <v>47</v>
      </c>
      <c r="AV8" s="92">
        <v>48</v>
      </c>
      <c r="AW8" s="92">
        <v>49</v>
      </c>
      <c r="AX8" s="92">
        <v>50</v>
      </c>
      <c r="AY8" s="92">
        <v>51</v>
      </c>
      <c r="AZ8" s="92">
        <v>52</v>
      </c>
      <c r="BA8" s="92">
        <v>53</v>
      </c>
      <c r="BB8" s="92">
        <v>54</v>
      </c>
      <c r="BC8" s="92">
        <v>55</v>
      </c>
      <c r="BD8" s="92">
        <v>56</v>
      </c>
      <c r="BE8" s="92"/>
      <c r="BF8" s="92">
        <v>57</v>
      </c>
      <c r="BG8" s="92">
        <v>58</v>
      </c>
      <c r="BH8" s="92">
        <v>59</v>
      </c>
      <c r="BI8" s="92">
        <v>60</v>
      </c>
    </row>
    <row r="9" spans="1:61" ht="31.5">
      <c r="A9" s="241">
        <v>1</v>
      </c>
      <c r="B9" s="128" t="s">
        <v>192</v>
      </c>
      <c r="C9" s="337" t="s">
        <v>191</v>
      </c>
      <c r="D9" s="210" t="s">
        <v>163</v>
      </c>
      <c r="E9" s="242" t="s">
        <v>189</v>
      </c>
      <c r="F9" s="210" t="s">
        <v>163</v>
      </c>
      <c r="G9" s="212">
        <v>34</v>
      </c>
      <c r="H9" s="381">
        <v>5.41</v>
      </c>
      <c r="I9" s="243">
        <f>ROUND((((J9+K9))/24)+(L9+M9+N9)/18,2)</f>
        <v>0.5</v>
      </c>
      <c r="J9" s="244"/>
      <c r="K9" s="244"/>
      <c r="L9" s="245"/>
      <c r="M9" s="308">
        <v>9</v>
      </c>
      <c r="N9" s="246"/>
      <c r="O9" s="372">
        <f>SUM(J9:N9)</f>
        <v>9</v>
      </c>
      <c r="P9" s="43">
        <f t="shared" ref="P9" si="0">SUM(($H$4*H9)/24)*J9</f>
        <v>0</v>
      </c>
      <c r="Q9" s="40">
        <f t="shared" ref="Q9" si="1">SUM(($H$4*H9)/24)*K9</f>
        <v>0</v>
      </c>
      <c r="R9" s="40">
        <f t="shared" ref="R9" si="2">($H$4*H9)/18*L9</f>
        <v>0</v>
      </c>
      <c r="S9" s="42">
        <f t="shared" ref="S9" si="3">($H$4*H9)*M9/18</f>
        <v>47870.385000000002</v>
      </c>
      <c r="T9" s="40">
        <f t="shared" ref="T9" si="4">($H$4*H9)/18*N9</f>
        <v>0</v>
      </c>
      <c r="U9" s="42">
        <f>SUM(P9:T9)</f>
        <v>47870.385000000002</v>
      </c>
      <c r="V9" s="41"/>
      <c r="W9" s="40">
        <f t="shared" ref="W9" si="5">(U9*V9)/100</f>
        <v>0</v>
      </c>
      <c r="X9" s="42">
        <f>SUM(U9,W9)</f>
        <v>47870.385000000002</v>
      </c>
      <c r="Y9" s="264"/>
      <c r="Z9" s="42">
        <f>($H$4*0.25)*Y9/18</f>
        <v>0</v>
      </c>
      <c r="AA9" s="265"/>
      <c r="AB9" s="8">
        <f t="shared" ref="AB9" si="6">SUM(($H$4*0.25)/18)*AA9</f>
        <v>0</v>
      </c>
      <c r="AC9" s="42"/>
      <c r="AD9" s="42">
        <f t="shared" ref="AD9" si="7">SUM(($H$4*0.25)/18*AC9)</f>
        <v>0</v>
      </c>
      <c r="AE9" s="264"/>
      <c r="AF9" s="8">
        <f t="shared" ref="AF9" si="8">SUM(($H$4*0.2)/18)*AE9</f>
        <v>0</v>
      </c>
      <c r="AG9" s="264"/>
      <c r="AH9" s="42">
        <f>SUM(($H$4*0.2)/18)*AG9</f>
        <v>0</v>
      </c>
      <c r="AI9" s="264"/>
      <c r="AJ9" s="8">
        <f t="shared" ref="AJ9" si="9">SUM(($H$4*0.2)/18)*AI9</f>
        <v>0</v>
      </c>
      <c r="AK9" s="266">
        <f t="shared" ref="AK9:AL9" si="10">SUM(Y9,AA9,AC9,AE9,AG9,AI9)</f>
        <v>0</v>
      </c>
      <c r="AL9" s="8">
        <f t="shared" si="10"/>
        <v>0</v>
      </c>
      <c r="AM9" s="267"/>
      <c r="AN9" s="42">
        <f>SUM($H$4*0.25)*AM9</f>
        <v>0</v>
      </c>
      <c r="AO9" s="265"/>
      <c r="AP9" s="42">
        <f>SUM($H$4*0.3)*AO9</f>
        <v>0</v>
      </c>
      <c r="AQ9" s="42"/>
      <c r="AR9" s="42">
        <f>SUM($H$4*0.2*AQ9)</f>
        <v>0</v>
      </c>
      <c r="AS9" s="264"/>
      <c r="AT9" s="42">
        <f>SUM($H$4*$H9*AS9/18)</f>
        <v>0</v>
      </c>
      <c r="AU9" s="264"/>
      <c r="AV9" s="42">
        <f>SUM($H$4*$H9*AU9/18)*0.7</f>
        <v>0</v>
      </c>
      <c r="AW9" s="267"/>
      <c r="AX9" s="42">
        <f>SUM($H$4*$H9*AW9/18)*0.3</f>
        <v>0</v>
      </c>
      <c r="AY9" s="264"/>
      <c r="AZ9" s="42">
        <f t="shared" ref="AZ9" si="11">SUM(($H$4*0.25)/18)*AY9</f>
        <v>0</v>
      </c>
      <c r="BA9" s="42"/>
      <c r="BB9" s="42">
        <f t="shared" ref="BB9" si="12">SUM($H$4*0.2)*BA9</f>
        <v>0</v>
      </c>
      <c r="BC9" s="42"/>
      <c r="BD9" s="42">
        <f t="shared" ref="BD9" si="13">((($H$4*BC9)/100)*20)/100</f>
        <v>0</v>
      </c>
      <c r="BE9" s="40">
        <f>SUM(O9)</f>
        <v>9</v>
      </c>
      <c r="BF9" s="366">
        <f t="shared" ref="BF9" si="14">SUM((U9/O9*BE9)*0.3)</f>
        <v>14361.115500000002</v>
      </c>
      <c r="BG9" s="8">
        <f>AL9+AN9+AP9+AT9+AV9+AX9+AZ9+BB9+BD9+BF9+AR9</f>
        <v>14361.115500000002</v>
      </c>
      <c r="BH9" s="42">
        <f>BG9</f>
        <v>14361.115500000002</v>
      </c>
      <c r="BI9" s="42">
        <f>BH9*12</f>
        <v>172333.38600000003</v>
      </c>
    </row>
    <row r="10" spans="1:61" ht="18.75" customHeight="1">
      <c r="A10" s="62"/>
      <c r="B10" s="126" t="s">
        <v>98</v>
      </c>
      <c r="C10" s="338"/>
      <c r="D10" s="6"/>
      <c r="E10" s="5"/>
      <c r="F10" s="69"/>
      <c r="G10" s="6"/>
      <c r="H10" s="288"/>
      <c r="I10" s="86">
        <f>SUM(I9)</f>
        <v>0.5</v>
      </c>
      <c r="J10" s="86">
        <f t="shared" ref="J10:BI10" si="15">SUM(J9)</f>
        <v>0</v>
      </c>
      <c r="K10" s="86">
        <f t="shared" si="15"/>
        <v>0</v>
      </c>
      <c r="L10" s="86">
        <f t="shared" si="15"/>
        <v>0</v>
      </c>
      <c r="M10" s="86">
        <f t="shared" si="15"/>
        <v>9</v>
      </c>
      <c r="N10" s="86">
        <f t="shared" si="15"/>
        <v>0</v>
      </c>
      <c r="O10" s="86">
        <f t="shared" si="15"/>
        <v>9</v>
      </c>
      <c r="P10" s="86">
        <f t="shared" si="15"/>
        <v>0</v>
      </c>
      <c r="Q10" s="86">
        <f t="shared" si="15"/>
        <v>0</v>
      </c>
      <c r="R10" s="86">
        <f t="shared" si="15"/>
        <v>0</v>
      </c>
      <c r="S10" s="86">
        <f t="shared" si="15"/>
        <v>47870.385000000002</v>
      </c>
      <c r="T10" s="86">
        <f t="shared" si="15"/>
        <v>0</v>
      </c>
      <c r="U10" s="86">
        <f t="shared" si="15"/>
        <v>47870.385000000002</v>
      </c>
      <c r="V10" s="86">
        <f t="shared" si="15"/>
        <v>0</v>
      </c>
      <c r="W10" s="86">
        <f t="shared" si="15"/>
        <v>0</v>
      </c>
      <c r="X10" s="86">
        <f t="shared" si="15"/>
        <v>47870.385000000002</v>
      </c>
      <c r="Y10" s="86">
        <f t="shared" si="15"/>
        <v>0</v>
      </c>
      <c r="Z10" s="86">
        <f t="shared" si="15"/>
        <v>0</v>
      </c>
      <c r="AA10" s="86">
        <f t="shared" si="15"/>
        <v>0</v>
      </c>
      <c r="AB10" s="86">
        <f t="shared" si="15"/>
        <v>0</v>
      </c>
      <c r="AC10" s="86">
        <f t="shared" si="15"/>
        <v>0</v>
      </c>
      <c r="AD10" s="86">
        <f t="shared" si="15"/>
        <v>0</v>
      </c>
      <c r="AE10" s="86">
        <f t="shared" si="15"/>
        <v>0</v>
      </c>
      <c r="AF10" s="86">
        <f t="shared" si="15"/>
        <v>0</v>
      </c>
      <c r="AG10" s="86">
        <f t="shared" si="15"/>
        <v>0</v>
      </c>
      <c r="AH10" s="86">
        <f t="shared" si="15"/>
        <v>0</v>
      </c>
      <c r="AI10" s="86">
        <f t="shared" si="15"/>
        <v>0</v>
      </c>
      <c r="AJ10" s="86">
        <f t="shared" si="15"/>
        <v>0</v>
      </c>
      <c r="AK10" s="86">
        <f t="shared" si="15"/>
        <v>0</v>
      </c>
      <c r="AL10" s="86">
        <f t="shared" si="15"/>
        <v>0</v>
      </c>
      <c r="AM10" s="86">
        <f t="shared" si="15"/>
        <v>0</v>
      </c>
      <c r="AN10" s="86">
        <f t="shared" si="15"/>
        <v>0</v>
      </c>
      <c r="AO10" s="86">
        <f t="shared" si="15"/>
        <v>0</v>
      </c>
      <c r="AP10" s="86">
        <f t="shared" si="15"/>
        <v>0</v>
      </c>
      <c r="AQ10" s="86">
        <f t="shared" si="15"/>
        <v>0</v>
      </c>
      <c r="AR10" s="86">
        <f t="shared" si="15"/>
        <v>0</v>
      </c>
      <c r="AS10" s="86">
        <f t="shared" si="15"/>
        <v>0</v>
      </c>
      <c r="AT10" s="86">
        <f t="shared" si="15"/>
        <v>0</v>
      </c>
      <c r="AU10" s="86">
        <f t="shared" si="15"/>
        <v>0</v>
      </c>
      <c r="AV10" s="86">
        <f t="shared" si="15"/>
        <v>0</v>
      </c>
      <c r="AW10" s="86">
        <f t="shared" si="15"/>
        <v>0</v>
      </c>
      <c r="AX10" s="86">
        <f t="shared" si="15"/>
        <v>0</v>
      </c>
      <c r="AY10" s="86">
        <f t="shared" si="15"/>
        <v>0</v>
      </c>
      <c r="AZ10" s="86">
        <f t="shared" si="15"/>
        <v>0</v>
      </c>
      <c r="BA10" s="86">
        <f t="shared" si="15"/>
        <v>0</v>
      </c>
      <c r="BB10" s="86">
        <f t="shared" si="15"/>
        <v>0</v>
      </c>
      <c r="BC10" s="86">
        <f t="shared" si="15"/>
        <v>0</v>
      </c>
      <c r="BD10" s="86">
        <f t="shared" si="15"/>
        <v>0</v>
      </c>
      <c r="BE10" s="86">
        <f t="shared" si="15"/>
        <v>9</v>
      </c>
      <c r="BF10" s="86">
        <f t="shared" si="15"/>
        <v>14361.115500000002</v>
      </c>
      <c r="BG10" s="86">
        <f t="shared" si="15"/>
        <v>14361.115500000002</v>
      </c>
      <c r="BH10" s="86">
        <f t="shared" si="15"/>
        <v>14361.115500000002</v>
      </c>
      <c r="BI10" s="86">
        <f t="shared" si="15"/>
        <v>172333.38600000003</v>
      </c>
    </row>
    <row r="11" spans="1:61" ht="30.75">
      <c r="A11" s="137">
        <v>1</v>
      </c>
      <c r="B11" s="134" t="s">
        <v>188</v>
      </c>
      <c r="C11" s="444" t="s">
        <v>187</v>
      </c>
      <c r="D11" s="212" t="s">
        <v>163</v>
      </c>
      <c r="E11" s="219" t="s">
        <v>181</v>
      </c>
      <c r="F11" s="212">
        <v>1</v>
      </c>
      <c r="G11" s="221">
        <v>28</v>
      </c>
      <c r="H11" s="381">
        <v>5.2</v>
      </c>
      <c r="I11" s="213">
        <f t="shared" ref="I11:I16" si="16">ROUND((((J11+K11))/24)+(L11+M11+N11)/18,2)</f>
        <v>0.5</v>
      </c>
      <c r="J11" s="227"/>
      <c r="K11" s="227"/>
      <c r="L11" s="228"/>
      <c r="M11" s="309">
        <v>9</v>
      </c>
      <c r="N11" s="229"/>
      <c r="O11" s="372">
        <f t="shared" ref="O11:O12" si="17">SUM(J11:N11)</f>
        <v>9</v>
      </c>
      <c r="P11" s="43">
        <f t="shared" ref="P11:P12" si="18">SUM(($H$4*H11)/24)*J11</f>
        <v>0</v>
      </c>
      <c r="Q11" s="40">
        <f t="shared" ref="Q11:Q12" si="19">SUM(($H$4*H11)/24)*K11</f>
        <v>0</v>
      </c>
      <c r="R11" s="40">
        <f t="shared" ref="R11:R12" si="20">($H$4*H11)/18*L11</f>
        <v>0</v>
      </c>
      <c r="S11" s="42">
        <f t="shared" ref="S11:S12" si="21">($H$4*H11)*M11/18</f>
        <v>46012.200000000004</v>
      </c>
      <c r="T11" s="40">
        <f t="shared" ref="T11:T12" si="22">($H$4*H11)/18*N11</f>
        <v>0</v>
      </c>
      <c r="U11" s="42">
        <f t="shared" ref="U11:U12" si="23">SUM(P11:T11)</f>
        <v>46012.200000000004</v>
      </c>
      <c r="V11" s="41"/>
      <c r="W11" s="40">
        <f t="shared" ref="W11:W12" si="24">(U11*V11)/100</f>
        <v>0</v>
      </c>
      <c r="X11" s="42">
        <f t="shared" ref="X11:X12" si="25">SUM(U11,W11)</f>
        <v>46012.200000000004</v>
      </c>
      <c r="Y11" s="264"/>
      <c r="Z11" s="42">
        <f t="shared" ref="Z11:Z12" si="26">($H$4*0.25)*Y11/18</f>
        <v>0</v>
      </c>
      <c r="AA11" s="265"/>
      <c r="AB11" s="8">
        <f t="shared" ref="AB11:AB12" si="27">SUM(($H$4*0.25)/18)*AA11</f>
        <v>0</v>
      </c>
      <c r="AC11" s="42"/>
      <c r="AD11" s="42">
        <f t="shared" ref="AD11:AD12" si="28">SUM(($H$4*0.25)/18*AC11)</f>
        <v>0</v>
      </c>
      <c r="AE11" s="264"/>
      <c r="AF11" s="8">
        <f t="shared" ref="AF11:AF12" si="29">SUM(($H$4*0.2)/18)*AE11</f>
        <v>0</v>
      </c>
      <c r="AG11" s="264"/>
      <c r="AH11" s="42">
        <f t="shared" ref="AH11:AH12" si="30">SUM(($H$4*0.2)/18)*AG11</f>
        <v>0</v>
      </c>
      <c r="AI11" s="264"/>
      <c r="AJ11" s="8">
        <f t="shared" ref="AJ11:AJ12" si="31">SUM(($H$4*0.2)/18)*AI11</f>
        <v>0</v>
      </c>
      <c r="AK11" s="266">
        <f t="shared" ref="AK11:AL12" si="32">SUM(Y11,AA11,AC11,AE11,AG11,AI11)</f>
        <v>0</v>
      </c>
      <c r="AL11" s="8">
        <f t="shared" si="32"/>
        <v>0</v>
      </c>
      <c r="AM11" s="267"/>
      <c r="AN11" s="42">
        <f t="shared" ref="AN11:AN12" si="33">SUM($H$4*0.25)*AM11</f>
        <v>0</v>
      </c>
      <c r="AO11" s="265"/>
      <c r="AP11" s="42">
        <f t="shared" ref="AP11:AP12" si="34">SUM($H$4*0.3)*AO11</f>
        <v>0</v>
      </c>
      <c r="AQ11" s="42"/>
      <c r="AR11" s="42">
        <f t="shared" ref="AR11:AR12" si="35">SUM($H$4*0.2*AQ11)</f>
        <v>0</v>
      </c>
      <c r="AS11" s="264"/>
      <c r="AT11" s="42">
        <f t="shared" ref="AT11:AT12" si="36">SUM($H$4*$H11*AS11/18)</f>
        <v>0</v>
      </c>
      <c r="AU11" s="264"/>
      <c r="AV11" s="42">
        <f t="shared" ref="AV11:AV12" si="37">SUM($H$4*$H11*AU11/18)*0.7</f>
        <v>0</v>
      </c>
      <c r="AW11" s="267"/>
      <c r="AX11" s="42">
        <f t="shared" ref="AX11:AX12" si="38">SUM($H$4*$H11*AW11/18)*0.3</f>
        <v>0</v>
      </c>
      <c r="AY11" s="264"/>
      <c r="AZ11" s="42">
        <f t="shared" ref="AZ11:AZ12" si="39">SUM(($H$4*0.25)/18)*AY11</f>
        <v>0</v>
      </c>
      <c r="BA11" s="42"/>
      <c r="BB11" s="42">
        <f t="shared" ref="BB11:BB12" si="40">SUM($H$4*0.2)*BA11</f>
        <v>0</v>
      </c>
      <c r="BC11" s="42"/>
      <c r="BD11" s="42">
        <f t="shared" ref="BD11:BD12" si="41">((($H$4*BC11)/100)*20)/100</f>
        <v>0</v>
      </c>
      <c r="BE11" s="40">
        <f t="shared" ref="BE11:BE12" si="42">SUM(O11)</f>
        <v>9</v>
      </c>
      <c r="BF11" s="366">
        <f t="shared" ref="BF11:BF15" si="43">SUM((U11/O11*BE11)*0.3)</f>
        <v>13803.660000000002</v>
      </c>
      <c r="BG11" s="8">
        <f t="shared" ref="BG11:BG12" si="44">AL11+AN11+AP11+AT11+AV11+AX11+AZ11+BB11+BD11+BF11+AR11</f>
        <v>13803.660000000002</v>
      </c>
      <c r="BH11" s="42">
        <f t="shared" ref="BH11:BH12" si="45">BG11</f>
        <v>13803.660000000002</v>
      </c>
      <c r="BI11" s="42">
        <f>BH11*12</f>
        <v>165643.92000000001</v>
      </c>
    </row>
    <row r="12" spans="1:61" ht="31.5">
      <c r="A12" s="62">
        <v>2</v>
      </c>
      <c r="B12" s="135" t="s">
        <v>173</v>
      </c>
      <c r="C12" s="278" t="s">
        <v>186</v>
      </c>
      <c r="D12" s="212" t="s">
        <v>163</v>
      </c>
      <c r="E12" s="130" t="s">
        <v>181</v>
      </c>
      <c r="F12" s="212">
        <v>1</v>
      </c>
      <c r="G12" s="221">
        <v>35</v>
      </c>
      <c r="H12" s="381">
        <v>5.2</v>
      </c>
      <c r="I12" s="187">
        <f t="shared" si="16"/>
        <v>1.28</v>
      </c>
      <c r="J12" s="234"/>
      <c r="K12" s="234"/>
      <c r="L12" s="235"/>
      <c r="M12" s="306">
        <v>23</v>
      </c>
      <c r="N12" s="233"/>
      <c r="O12" s="372">
        <f t="shared" si="17"/>
        <v>23</v>
      </c>
      <c r="P12" s="43">
        <f t="shared" si="18"/>
        <v>0</v>
      </c>
      <c r="Q12" s="40">
        <f t="shared" si="19"/>
        <v>0</v>
      </c>
      <c r="R12" s="40">
        <f t="shared" si="20"/>
        <v>0</v>
      </c>
      <c r="S12" s="42">
        <f t="shared" si="21"/>
        <v>117586.73333333334</v>
      </c>
      <c r="T12" s="40">
        <f t="shared" si="22"/>
        <v>0</v>
      </c>
      <c r="U12" s="42">
        <f t="shared" si="23"/>
        <v>117586.73333333334</v>
      </c>
      <c r="V12" s="41"/>
      <c r="W12" s="40">
        <f t="shared" si="24"/>
        <v>0</v>
      </c>
      <c r="X12" s="42">
        <f t="shared" si="25"/>
        <v>117586.73333333334</v>
      </c>
      <c r="Y12" s="264"/>
      <c r="Z12" s="42">
        <f t="shared" si="26"/>
        <v>0</v>
      </c>
      <c r="AA12" s="265"/>
      <c r="AB12" s="8">
        <f t="shared" si="27"/>
        <v>0</v>
      </c>
      <c r="AC12" s="42"/>
      <c r="AD12" s="42">
        <f t="shared" si="28"/>
        <v>0</v>
      </c>
      <c r="AE12" s="264"/>
      <c r="AF12" s="8">
        <f t="shared" si="29"/>
        <v>0</v>
      </c>
      <c r="AG12" s="264"/>
      <c r="AH12" s="42">
        <f t="shared" si="30"/>
        <v>0</v>
      </c>
      <c r="AI12" s="264"/>
      <c r="AJ12" s="8">
        <f t="shared" si="31"/>
        <v>0</v>
      </c>
      <c r="AK12" s="266">
        <f t="shared" si="32"/>
        <v>0</v>
      </c>
      <c r="AL12" s="8">
        <f t="shared" si="32"/>
        <v>0</v>
      </c>
      <c r="AM12" s="267"/>
      <c r="AN12" s="42">
        <f t="shared" si="33"/>
        <v>0</v>
      </c>
      <c r="AO12" s="265"/>
      <c r="AP12" s="42">
        <f t="shared" si="34"/>
        <v>0</v>
      </c>
      <c r="AQ12" s="42"/>
      <c r="AR12" s="42">
        <f t="shared" si="35"/>
        <v>0</v>
      </c>
      <c r="AS12" s="264"/>
      <c r="AT12" s="42">
        <f t="shared" si="36"/>
        <v>0</v>
      </c>
      <c r="AU12" s="264"/>
      <c r="AV12" s="42">
        <f t="shared" si="37"/>
        <v>0</v>
      </c>
      <c r="AW12" s="267"/>
      <c r="AX12" s="42">
        <f t="shared" si="38"/>
        <v>0</v>
      </c>
      <c r="AY12" s="264"/>
      <c r="AZ12" s="42">
        <f t="shared" si="39"/>
        <v>0</v>
      </c>
      <c r="BA12" s="42"/>
      <c r="BB12" s="42">
        <f t="shared" si="40"/>
        <v>0</v>
      </c>
      <c r="BC12" s="42"/>
      <c r="BD12" s="42">
        <f t="shared" si="41"/>
        <v>0</v>
      </c>
      <c r="BE12" s="40">
        <f t="shared" si="42"/>
        <v>23</v>
      </c>
      <c r="BF12" s="366">
        <f t="shared" si="43"/>
        <v>35276.019999999997</v>
      </c>
      <c r="BG12" s="8">
        <f t="shared" si="44"/>
        <v>35276.019999999997</v>
      </c>
      <c r="BH12" s="42">
        <f t="shared" si="45"/>
        <v>35276.019999999997</v>
      </c>
      <c r="BI12" s="42">
        <f t="shared" ref="BI12:BI15" si="46">BH12*12</f>
        <v>423312.24</v>
      </c>
    </row>
    <row r="13" spans="1:61" ht="31.5">
      <c r="A13" s="137">
        <v>3</v>
      </c>
      <c r="B13" s="135" t="s">
        <v>185</v>
      </c>
      <c r="C13" s="278" t="s">
        <v>381</v>
      </c>
      <c r="D13" s="191" t="s">
        <v>163</v>
      </c>
      <c r="E13" s="219" t="s">
        <v>181</v>
      </c>
      <c r="F13" s="191">
        <v>1</v>
      </c>
      <c r="G13" s="212">
        <v>31.05</v>
      </c>
      <c r="H13" s="380">
        <v>5.2</v>
      </c>
      <c r="I13" s="187">
        <f t="shared" si="16"/>
        <v>1.33</v>
      </c>
      <c r="J13" s="188"/>
      <c r="K13" s="188"/>
      <c r="L13" s="307">
        <v>24</v>
      </c>
      <c r="M13" s="229"/>
      <c r="N13" s="229"/>
      <c r="O13" s="372">
        <f t="shared" ref="O13:O16" si="47">SUM(J13:N13)</f>
        <v>24</v>
      </c>
      <c r="P13" s="43">
        <f t="shared" ref="P13:P15" si="48">SUM(($H$4*H13)/24)*J13</f>
        <v>0</v>
      </c>
      <c r="Q13" s="40">
        <f t="shared" ref="Q13:Q15" si="49">SUM(($H$4*H13)/24)*K13</f>
        <v>0</v>
      </c>
      <c r="R13" s="42">
        <f t="shared" ref="R13:R15" si="50">($H$4*H13)/18*L13</f>
        <v>122699.20000000001</v>
      </c>
      <c r="S13" s="42">
        <f t="shared" ref="S13:S15" si="51">($H$4*H13)*M13/18</f>
        <v>0</v>
      </c>
      <c r="T13" s="40">
        <f t="shared" ref="T13:T15" si="52">($H$4*H13)/18*N13</f>
        <v>0</v>
      </c>
      <c r="U13" s="42">
        <f t="shared" ref="U13:U15" si="53">SUM(P13:T13)</f>
        <v>122699.20000000001</v>
      </c>
      <c r="V13" s="41"/>
      <c r="W13" s="40">
        <f t="shared" ref="W13:W15" si="54">(U13*V13)/100</f>
        <v>0</v>
      </c>
      <c r="X13" s="42">
        <f t="shared" ref="X13:X15" si="55">SUM(U13,W13)</f>
        <v>122699.20000000001</v>
      </c>
      <c r="Y13" s="264"/>
      <c r="Z13" s="42">
        <f t="shared" ref="Z13:Z15" si="56">($H$4*0.25)*Y13/18</f>
        <v>0</v>
      </c>
      <c r="AA13" s="265"/>
      <c r="AB13" s="8">
        <f t="shared" ref="AB13:AB15" si="57">SUM(($H$4*0.25)/18)*AA13</f>
        <v>0</v>
      </c>
      <c r="AC13" s="42"/>
      <c r="AD13" s="42">
        <f t="shared" ref="AD13:AD15" si="58">SUM(($H$4*0.25)/18*AC13)</f>
        <v>0</v>
      </c>
      <c r="AE13" s="264"/>
      <c r="AF13" s="8">
        <f t="shared" ref="AF13:AF15" si="59">SUM(($H$4*0.2)/18)*AE13</f>
        <v>0</v>
      </c>
      <c r="AG13" s="264"/>
      <c r="AH13" s="42">
        <f t="shared" ref="AH13:AH15" si="60">SUM(($H$4*0.2)/18)*AG13</f>
        <v>0</v>
      </c>
      <c r="AI13" s="264"/>
      <c r="AJ13" s="8">
        <f t="shared" ref="AJ13:AJ15" si="61">SUM(($H$4*0.2)/18)*AI13</f>
        <v>0</v>
      </c>
      <c r="AK13" s="266">
        <f t="shared" ref="AK13:AK15" si="62">SUM(Y13,AA13,AC13,AE13,AG13,AI13)</f>
        <v>0</v>
      </c>
      <c r="AL13" s="8">
        <f t="shared" ref="AL13:AL15" si="63">SUM(Z13,AB13,AD13,AF13,AH13,AJ13)</f>
        <v>0</v>
      </c>
      <c r="AM13" s="267"/>
      <c r="AN13" s="42">
        <f t="shared" ref="AN13:AN15" si="64">SUM($H$4*0.25)*AM13</f>
        <v>0</v>
      </c>
      <c r="AO13" s="265"/>
      <c r="AP13" s="42">
        <f t="shared" ref="AP13:AP15" si="65">SUM($H$4*0.3)*AO13</f>
        <v>0</v>
      </c>
      <c r="AQ13" s="42"/>
      <c r="AR13" s="42">
        <f t="shared" ref="AR13:AR15" si="66">SUM($H$4*0.2*AQ13)</f>
        <v>0</v>
      </c>
      <c r="AS13" s="264"/>
      <c r="AT13" s="42">
        <f t="shared" ref="AT13:AT15" si="67">SUM($H$4*$H13*AS13/18)</f>
        <v>0</v>
      </c>
      <c r="AU13" s="264"/>
      <c r="AV13" s="42">
        <f t="shared" ref="AV13:AV15" si="68">SUM($H$4*$H13*AU13/18)*0.7</f>
        <v>0</v>
      </c>
      <c r="AW13" s="267"/>
      <c r="AX13" s="42">
        <f t="shared" ref="AX13:AX15" si="69">SUM($H$4*$H13*AW13/18)*0.3</f>
        <v>0</v>
      </c>
      <c r="AY13" s="264"/>
      <c r="AZ13" s="42">
        <f t="shared" ref="AZ13:AZ15" si="70">SUM(($H$4*0.25)/18)*AY13</f>
        <v>0</v>
      </c>
      <c r="BA13" s="42"/>
      <c r="BB13" s="42">
        <f t="shared" ref="BB13:BB15" si="71">SUM($H$4*0.2)*BA13</f>
        <v>0</v>
      </c>
      <c r="BC13" s="42"/>
      <c r="BD13" s="42">
        <f t="shared" ref="BD13:BD15" si="72">((($H$4*BC13)/100)*20)/100</f>
        <v>0</v>
      </c>
      <c r="BE13" s="40">
        <f t="shared" ref="BE13:BE15" si="73">SUM(O13)</f>
        <v>24</v>
      </c>
      <c r="BF13" s="366">
        <f t="shared" si="43"/>
        <v>36809.760000000002</v>
      </c>
      <c r="BG13" s="8">
        <f t="shared" ref="BG13:BG15" si="74">AL13+AN13+AP13+AT13+AV13+AX13+AZ13+BB13+BD13+BF13+AR13</f>
        <v>36809.760000000002</v>
      </c>
      <c r="BH13" s="42">
        <f t="shared" ref="BH13:BH15" si="75">BG13</f>
        <v>36809.760000000002</v>
      </c>
      <c r="BI13" s="42">
        <f t="shared" si="46"/>
        <v>441717.12</v>
      </c>
    </row>
    <row r="14" spans="1:61" s="362" customFormat="1" ht="31.5">
      <c r="A14" s="4">
        <v>4</v>
      </c>
      <c r="B14" s="345" t="s">
        <v>168</v>
      </c>
      <c r="C14" s="447" t="s">
        <v>300</v>
      </c>
      <c r="D14" s="346" t="s">
        <v>163</v>
      </c>
      <c r="E14" s="347" t="s">
        <v>181</v>
      </c>
      <c r="F14" s="346">
        <v>1</v>
      </c>
      <c r="G14" s="212">
        <v>23.01</v>
      </c>
      <c r="H14" s="380">
        <v>5.12</v>
      </c>
      <c r="I14" s="348">
        <f t="shared" si="16"/>
        <v>0.72</v>
      </c>
      <c r="J14" s="349"/>
      <c r="K14" s="350"/>
      <c r="L14" s="351"/>
      <c r="M14" s="352">
        <v>13</v>
      </c>
      <c r="N14" s="351"/>
      <c r="O14" s="373">
        <f t="shared" si="47"/>
        <v>13</v>
      </c>
      <c r="P14" s="354">
        <f t="shared" si="48"/>
        <v>0</v>
      </c>
      <c r="Q14" s="353">
        <f t="shared" si="49"/>
        <v>0</v>
      </c>
      <c r="R14" s="353">
        <f t="shared" si="50"/>
        <v>0</v>
      </c>
      <c r="S14" s="355">
        <f t="shared" si="51"/>
        <v>65439.573333333334</v>
      </c>
      <c r="T14" s="353">
        <f t="shared" si="52"/>
        <v>0</v>
      </c>
      <c r="U14" s="355">
        <f t="shared" si="53"/>
        <v>65439.573333333334</v>
      </c>
      <c r="V14" s="356"/>
      <c r="W14" s="353">
        <f t="shared" si="54"/>
        <v>0</v>
      </c>
      <c r="X14" s="355">
        <f t="shared" si="55"/>
        <v>65439.573333333334</v>
      </c>
      <c r="Y14" s="357"/>
      <c r="Z14" s="355">
        <f t="shared" si="56"/>
        <v>0</v>
      </c>
      <c r="AA14" s="358"/>
      <c r="AB14" s="359">
        <f t="shared" si="57"/>
        <v>0</v>
      </c>
      <c r="AC14" s="355"/>
      <c r="AD14" s="355">
        <f t="shared" si="58"/>
        <v>0</v>
      </c>
      <c r="AE14" s="357"/>
      <c r="AF14" s="359">
        <f t="shared" si="59"/>
        <v>0</v>
      </c>
      <c r="AG14" s="357"/>
      <c r="AH14" s="355">
        <f t="shared" si="60"/>
        <v>0</v>
      </c>
      <c r="AI14" s="357"/>
      <c r="AJ14" s="359">
        <f t="shared" si="61"/>
        <v>0</v>
      </c>
      <c r="AK14" s="360">
        <f t="shared" si="62"/>
        <v>0</v>
      </c>
      <c r="AL14" s="359">
        <f t="shared" si="63"/>
        <v>0</v>
      </c>
      <c r="AM14" s="361"/>
      <c r="AN14" s="355">
        <f t="shared" si="64"/>
        <v>0</v>
      </c>
      <c r="AO14" s="358"/>
      <c r="AP14" s="355">
        <f t="shared" si="65"/>
        <v>0</v>
      </c>
      <c r="AQ14" s="355"/>
      <c r="AR14" s="355">
        <f t="shared" si="66"/>
        <v>0</v>
      </c>
      <c r="AS14" s="357"/>
      <c r="AT14" s="355">
        <f t="shared" si="67"/>
        <v>0</v>
      </c>
      <c r="AU14" s="357"/>
      <c r="AV14" s="355">
        <f t="shared" si="68"/>
        <v>0</v>
      </c>
      <c r="AW14" s="361"/>
      <c r="AX14" s="355">
        <f t="shared" si="69"/>
        <v>0</v>
      </c>
      <c r="AY14" s="357"/>
      <c r="AZ14" s="355">
        <f t="shared" si="70"/>
        <v>0</v>
      </c>
      <c r="BA14" s="355"/>
      <c r="BB14" s="355">
        <f t="shared" si="71"/>
        <v>0</v>
      </c>
      <c r="BC14" s="355"/>
      <c r="BD14" s="355">
        <f t="shared" si="72"/>
        <v>0</v>
      </c>
      <c r="BE14" s="353">
        <f t="shared" si="73"/>
        <v>13</v>
      </c>
      <c r="BF14" s="367">
        <f t="shared" si="43"/>
        <v>19631.871999999999</v>
      </c>
      <c r="BG14" s="359">
        <f t="shared" si="74"/>
        <v>19631.871999999999</v>
      </c>
      <c r="BH14" s="355">
        <f t="shared" si="75"/>
        <v>19631.871999999999</v>
      </c>
      <c r="BI14" s="355">
        <f t="shared" si="46"/>
        <v>235582.46399999998</v>
      </c>
    </row>
    <row r="15" spans="1:61">
      <c r="A15" s="63">
        <v>5</v>
      </c>
      <c r="B15" s="445" t="s">
        <v>184</v>
      </c>
      <c r="C15" s="446" t="s">
        <v>382</v>
      </c>
      <c r="D15" s="191" t="s">
        <v>163</v>
      </c>
      <c r="E15" s="192" t="s">
        <v>181</v>
      </c>
      <c r="F15" s="191">
        <v>1</v>
      </c>
      <c r="G15" s="212">
        <v>39</v>
      </c>
      <c r="H15" s="380">
        <v>5.2</v>
      </c>
      <c r="I15" s="187">
        <f t="shared" si="16"/>
        <v>1.22</v>
      </c>
      <c r="J15" s="232"/>
      <c r="K15" s="232"/>
      <c r="L15" s="306">
        <v>22</v>
      </c>
      <c r="M15" s="229"/>
      <c r="N15" s="229"/>
      <c r="O15" s="372">
        <f t="shared" si="47"/>
        <v>22</v>
      </c>
      <c r="P15" s="43">
        <f t="shared" si="48"/>
        <v>0</v>
      </c>
      <c r="Q15" s="40">
        <f t="shared" si="49"/>
        <v>0</v>
      </c>
      <c r="R15" s="42">
        <f t="shared" si="50"/>
        <v>112474.26666666668</v>
      </c>
      <c r="S15" s="40">
        <f t="shared" si="51"/>
        <v>0</v>
      </c>
      <c r="T15" s="40">
        <f t="shared" si="52"/>
        <v>0</v>
      </c>
      <c r="U15" s="42">
        <f t="shared" si="53"/>
        <v>112474.26666666668</v>
      </c>
      <c r="V15" s="41"/>
      <c r="W15" s="40">
        <f t="shared" si="54"/>
        <v>0</v>
      </c>
      <c r="X15" s="42">
        <f t="shared" si="55"/>
        <v>112474.26666666668</v>
      </c>
      <c r="Y15" s="264"/>
      <c r="Z15" s="42">
        <f t="shared" si="56"/>
        <v>0</v>
      </c>
      <c r="AA15" s="265"/>
      <c r="AB15" s="8">
        <f t="shared" si="57"/>
        <v>0</v>
      </c>
      <c r="AC15" s="42"/>
      <c r="AD15" s="42">
        <f t="shared" si="58"/>
        <v>0</v>
      </c>
      <c r="AE15" s="264"/>
      <c r="AF15" s="8">
        <f t="shared" si="59"/>
        <v>0</v>
      </c>
      <c r="AG15" s="264"/>
      <c r="AH15" s="42">
        <f t="shared" si="60"/>
        <v>0</v>
      </c>
      <c r="AI15" s="264"/>
      <c r="AJ15" s="8">
        <f t="shared" si="61"/>
        <v>0</v>
      </c>
      <c r="AK15" s="266">
        <f t="shared" si="62"/>
        <v>0</v>
      </c>
      <c r="AL15" s="8">
        <f t="shared" si="63"/>
        <v>0</v>
      </c>
      <c r="AM15" s="267"/>
      <c r="AN15" s="42">
        <f t="shared" si="64"/>
        <v>0</v>
      </c>
      <c r="AO15" s="265"/>
      <c r="AP15" s="42">
        <f t="shared" si="65"/>
        <v>0</v>
      </c>
      <c r="AQ15" s="42"/>
      <c r="AR15" s="42">
        <f t="shared" si="66"/>
        <v>0</v>
      </c>
      <c r="AS15" s="264"/>
      <c r="AT15" s="42">
        <f t="shared" si="67"/>
        <v>0</v>
      </c>
      <c r="AU15" s="264"/>
      <c r="AV15" s="42">
        <f t="shared" si="68"/>
        <v>0</v>
      </c>
      <c r="AW15" s="267"/>
      <c r="AX15" s="42">
        <f t="shared" si="69"/>
        <v>0</v>
      </c>
      <c r="AY15" s="264"/>
      <c r="AZ15" s="42">
        <f t="shared" si="70"/>
        <v>0</v>
      </c>
      <c r="BA15" s="42"/>
      <c r="BB15" s="42">
        <f t="shared" si="71"/>
        <v>0</v>
      </c>
      <c r="BC15" s="42"/>
      <c r="BD15" s="42">
        <f t="shared" si="72"/>
        <v>0</v>
      </c>
      <c r="BE15" s="40">
        <f t="shared" si="73"/>
        <v>22</v>
      </c>
      <c r="BF15" s="366">
        <f t="shared" si="43"/>
        <v>33742.28</v>
      </c>
      <c r="BG15" s="8">
        <f t="shared" si="74"/>
        <v>33742.28</v>
      </c>
      <c r="BH15" s="42">
        <f t="shared" si="75"/>
        <v>33742.28</v>
      </c>
      <c r="BI15" s="42">
        <f t="shared" si="46"/>
        <v>404907.36</v>
      </c>
    </row>
    <row r="16" spans="1:61">
      <c r="A16" s="62">
        <v>6</v>
      </c>
      <c r="B16" s="136" t="s">
        <v>183</v>
      </c>
      <c r="C16" s="339" t="s">
        <v>246</v>
      </c>
      <c r="D16" s="190" t="s">
        <v>163</v>
      </c>
      <c r="E16" s="219" t="s">
        <v>181</v>
      </c>
      <c r="F16" s="212">
        <v>1</v>
      </c>
      <c r="G16" s="212">
        <v>29.05</v>
      </c>
      <c r="H16" s="381">
        <v>5.2</v>
      </c>
      <c r="I16" s="187">
        <f t="shared" si="16"/>
        <v>1.5</v>
      </c>
      <c r="J16" s="232"/>
      <c r="K16" s="232"/>
      <c r="L16" s="233">
        <v>2</v>
      </c>
      <c r="M16" s="306">
        <v>25</v>
      </c>
      <c r="N16" s="233"/>
      <c r="O16" s="372">
        <f t="shared" si="47"/>
        <v>27</v>
      </c>
      <c r="P16" s="43">
        <f t="shared" ref="P16" si="76">SUM(($H$4*H16)/24)*J16</f>
        <v>0</v>
      </c>
      <c r="Q16" s="40">
        <f t="shared" ref="Q16" si="77">SUM(($H$4*H16)/24)*K16</f>
        <v>0</v>
      </c>
      <c r="R16" s="42">
        <f t="shared" ref="R16" si="78">($H$4*H16)/18*L16</f>
        <v>10224.933333333334</v>
      </c>
      <c r="S16" s="40">
        <f t="shared" ref="S16" si="79">($H$4*H16)*M16/18</f>
        <v>127811.66666666667</v>
      </c>
      <c r="T16" s="40">
        <f t="shared" ref="T16" si="80">($H$4*H16)/18*N16</f>
        <v>0</v>
      </c>
      <c r="U16" s="42">
        <f t="shared" ref="U16" si="81">SUM(P16:T16)</f>
        <v>138036.6</v>
      </c>
      <c r="V16" s="41"/>
      <c r="W16" s="40">
        <f t="shared" ref="W16" si="82">(U16*V16)/100</f>
        <v>0</v>
      </c>
      <c r="X16" s="42">
        <f t="shared" ref="X16" si="83">SUM(U16,W16)</f>
        <v>138036.6</v>
      </c>
      <c r="Y16" s="264"/>
      <c r="Z16" s="42">
        <f t="shared" ref="Z16" si="84">($H$4*0.25)*Y16/18</f>
        <v>0</v>
      </c>
      <c r="AA16" s="265"/>
      <c r="AB16" s="8">
        <f t="shared" ref="AB16" si="85">SUM(($H$4*0.25)/18)*AA16</f>
        <v>0</v>
      </c>
      <c r="AC16" s="42"/>
      <c r="AD16" s="42">
        <f t="shared" ref="AD16" si="86">SUM(($H$4*0.25)/18*AC16)</f>
        <v>0</v>
      </c>
      <c r="AE16" s="264"/>
      <c r="AF16" s="8">
        <f t="shared" ref="AF16" si="87">SUM(($H$4*0.2)/18)*AE16</f>
        <v>0</v>
      </c>
      <c r="AG16" s="264"/>
      <c r="AH16" s="42">
        <f t="shared" ref="AH16" si="88">SUM(($H$4*0.2)/18)*AG16</f>
        <v>0</v>
      </c>
      <c r="AI16" s="264"/>
      <c r="AJ16" s="8">
        <f t="shared" ref="AJ16" si="89">SUM(($H$4*0.2)/18)*AI16</f>
        <v>0</v>
      </c>
      <c r="AK16" s="266">
        <f t="shared" ref="AK16" si="90">SUM(Y16,AA16,AC16,AE16,AG16,AI16)</f>
        <v>0</v>
      </c>
      <c r="AL16" s="8">
        <f t="shared" ref="AL16" si="91">SUM(Z16,AB16,AD16,AF16,AH16,AJ16)</f>
        <v>0</v>
      </c>
      <c r="AM16" s="267"/>
      <c r="AN16" s="42">
        <f t="shared" ref="AN16" si="92">SUM($H$4*0.25)*AM16</f>
        <v>0</v>
      </c>
      <c r="AO16" s="265"/>
      <c r="AP16" s="42">
        <f t="shared" ref="AP16" si="93">SUM($H$4*0.3)*AO16</f>
        <v>0</v>
      </c>
      <c r="AQ16" s="42"/>
      <c r="AR16" s="42">
        <f t="shared" ref="AR16" si="94">SUM($H$4*0.2*AQ16)</f>
        <v>0</v>
      </c>
      <c r="AS16" s="264"/>
      <c r="AT16" s="42">
        <f t="shared" ref="AT16" si="95">SUM($H$4*$H16*AS16/18)</f>
        <v>0</v>
      </c>
      <c r="AU16" s="264"/>
      <c r="AV16" s="42">
        <f t="shared" ref="AV16" si="96">SUM($H$4*$H16*AU16/18)*0.7</f>
        <v>0</v>
      </c>
      <c r="AW16" s="267"/>
      <c r="AX16" s="42">
        <f t="shared" ref="AX16" si="97">SUM($H$4*$H16*AW16/18)*0.3</f>
        <v>0</v>
      </c>
      <c r="AY16" s="264"/>
      <c r="AZ16" s="42">
        <f t="shared" ref="AZ16" si="98">SUM(($H$4*0.25)/18)*AY16</f>
        <v>0</v>
      </c>
      <c r="BA16" s="42"/>
      <c r="BB16" s="42">
        <f t="shared" ref="BB16" si="99">SUM($H$4*0.2)*BA16</f>
        <v>0</v>
      </c>
      <c r="BC16" s="42"/>
      <c r="BD16" s="42">
        <f t="shared" ref="BD16" si="100">((($H$4*BC16)/100)*20)/100</f>
        <v>0</v>
      </c>
      <c r="BE16" s="40">
        <f t="shared" ref="BE16" si="101">SUM(O16)</f>
        <v>27</v>
      </c>
      <c r="BF16" s="366">
        <f t="shared" ref="BF16" si="102">SUM((U16/O16*BE16)*0.3)</f>
        <v>41410.980000000003</v>
      </c>
      <c r="BG16" s="8">
        <f t="shared" ref="BG16" si="103">AL16+AN16+AP16+AT16+AV16+AX16+AZ16+BB16+BD16+BF16+AR16</f>
        <v>41410.980000000003</v>
      </c>
      <c r="BH16" s="42">
        <f t="shared" ref="BH16" si="104">BG16</f>
        <v>41410.980000000003</v>
      </c>
      <c r="BI16" s="42">
        <f t="shared" ref="BI16" si="105">BH16*12</f>
        <v>496931.76</v>
      </c>
    </row>
    <row r="17" spans="1:61" ht="18.75" customHeight="1">
      <c r="A17" s="85"/>
      <c r="B17" s="126" t="s">
        <v>99</v>
      </c>
      <c r="C17" s="338"/>
      <c r="D17" s="6"/>
      <c r="E17" s="5"/>
      <c r="F17" s="69"/>
      <c r="G17" s="8"/>
      <c r="H17" s="288"/>
      <c r="I17" s="266">
        <f t="shared" ref="I17:BI17" si="106">SUM(I11:I16)</f>
        <v>6.55</v>
      </c>
      <c r="J17" s="266">
        <f t="shared" si="106"/>
        <v>0</v>
      </c>
      <c r="K17" s="266">
        <f t="shared" si="106"/>
        <v>0</v>
      </c>
      <c r="L17" s="266">
        <f t="shared" si="106"/>
        <v>48</v>
      </c>
      <c r="M17" s="266">
        <f t="shared" si="106"/>
        <v>70</v>
      </c>
      <c r="N17" s="266">
        <f t="shared" si="106"/>
        <v>0</v>
      </c>
      <c r="O17" s="266">
        <f t="shared" si="106"/>
        <v>118</v>
      </c>
      <c r="P17" s="266">
        <f t="shared" si="106"/>
        <v>0</v>
      </c>
      <c r="Q17" s="266">
        <f t="shared" si="106"/>
        <v>0</v>
      </c>
      <c r="R17" s="266">
        <f t="shared" si="106"/>
        <v>245398.40000000002</v>
      </c>
      <c r="S17" s="266">
        <f t="shared" si="106"/>
        <v>356850.17333333334</v>
      </c>
      <c r="T17" s="266">
        <f t="shared" si="106"/>
        <v>0</v>
      </c>
      <c r="U17" s="266">
        <f t="shared" si="106"/>
        <v>602248.57333333336</v>
      </c>
      <c r="V17" s="266">
        <f t="shared" si="106"/>
        <v>0</v>
      </c>
      <c r="W17" s="266">
        <f t="shared" si="106"/>
        <v>0</v>
      </c>
      <c r="X17" s="266">
        <f t="shared" si="106"/>
        <v>602248.57333333336</v>
      </c>
      <c r="Y17" s="266">
        <f t="shared" si="106"/>
        <v>0</v>
      </c>
      <c r="Z17" s="266">
        <f t="shared" si="106"/>
        <v>0</v>
      </c>
      <c r="AA17" s="266">
        <f t="shared" si="106"/>
        <v>0</v>
      </c>
      <c r="AB17" s="266">
        <f t="shared" si="106"/>
        <v>0</v>
      </c>
      <c r="AC17" s="266">
        <f t="shared" si="106"/>
        <v>0</v>
      </c>
      <c r="AD17" s="266">
        <f t="shared" si="106"/>
        <v>0</v>
      </c>
      <c r="AE17" s="266">
        <f t="shared" si="106"/>
        <v>0</v>
      </c>
      <c r="AF17" s="266">
        <f t="shared" si="106"/>
        <v>0</v>
      </c>
      <c r="AG17" s="266">
        <f t="shared" si="106"/>
        <v>0</v>
      </c>
      <c r="AH17" s="266">
        <f t="shared" si="106"/>
        <v>0</v>
      </c>
      <c r="AI17" s="266">
        <f t="shared" si="106"/>
        <v>0</v>
      </c>
      <c r="AJ17" s="266">
        <f t="shared" si="106"/>
        <v>0</v>
      </c>
      <c r="AK17" s="266">
        <f t="shared" si="106"/>
        <v>0</v>
      </c>
      <c r="AL17" s="266">
        <f t="shared" si="106"/>
        <v>0</v>
      </c>
      <c r="AM17" s="266">
        <f t="shared" si="106"/>
        <v>0</v>
      </c>
      <c r="AN17" s="266">
        <f t="shared" si="106"/>
        <v>0</v>
      </c>
      <c r="AO17" s="266">
        <f t="shared" si="106"/>
        <v>0</v>
      </c>
      <c r="AP17" s="266">
        <f t="shared" si="106"/>
        <v>0</v>
      </c>
      <c r="AQ17" s="266">
        <f t="shared" si="106"/>
        <v>0</v>
      </c>
      <c r="AR17" s="266">
        <f t="shared" si="106"/>
        <v>0</v>
      </c>
      <c r="AS17" s="266">
        <f t="shared" si="106"/>
        <v>0</v>
      </c>
      <c r="AT17" s="266">
        <f t="shared" si="106"/>
        <v>0</v>
      </c>
      <c r="AU17" s="266">
        <f t="shared" si="106"/>
        <v>0</v>
      </c>
      <c r="AV17" s="266">
        <f t="shared" si="106"/>
        <v>0</v>
      </c>
      <c r="AW17" s="266">
        <f t="shared" si="106"/>
        <v>0</v>
      </c>
      <c r="AX17" s="266">
        <f t="shared" si="106"/>
        <v>0</v>
      </c>
      <c r="AY17" s="266">
        <f t="shared" si="106"/>
        <v>0</v>
      </c>
      <c r="AZ17" s="266">
        <f t="shared" si="106"/>
        <v>0</v>
      </c>
      <c r="BA17" s="266">
        <f t="shared" si="106"/>
        <v>0</v>
      </c>
      <c r="BB17" s="266">
        <f t="shared" si="106"/>
        <v>0</v>
      </c>
      <c r="BC17" s="266">
        <f t="shared" si="106"/>
        <v>0</v>
      </c>
      <c r="BD17" s="266">
        <f t="shared" si="106"/>
        <v>0</v>
      </c>
      <c r="BE17" s="266">
        <f t="shared" si="106"/>
        <v>118</v>
      </c>
      <c r="BF17" s="266">
        <f t="shared" si="106"/>
        <v>180674.57200000001</v>
      </c>
      <c r="BG17" s="266">
        <f t="shared" si="106"/>
        <v>180674.57200000001</v>
      </c>
      <c r="BH17" s="266">
        <f t="shared" si="106"/>
        <v>180674.57200000001</v>
      </c>
      <c r="BI17" s="266">
        <f t="shared" si="106"/>
        <v>2168094.8640000001</v>
      </c>
    </row>
    <row r="18" spans="1:61" ht="31.5">
      <c r="A18" s="62">
        <v>1</v>
      </c>
      <c r="B18" s="135" t="s">
        <v>180</v>
      </c>
      <c r="C18" s="339" t="s">
        <v>307</v>
      </c>
      <c r="D18" s="212" t="s">
        <v>163</v>
      </c>
      <c r="E18" s="130" t="s">
        <v>174</v>
      </c>
      <c r="F18" s="212">
        <v>2</v>
      </c>
      <c r="G18" s="221">
        <v>20.05</v>
      </c>
      <c r="H18" s="380">
        <v>5.08</v>
      </c>
      <c r="I18" s="187">
        <f t="shared" ref="I18:I20" si="107">ROUND((((J18+K18))/24)+(L18+M18+N18)/18,2)</f>
        <v>1.06</v>
      </c>
      <c r="J18" s="234"/>
      <c r="K18" s="234"/>
      <c r="L18" s="253">
        <v>19</v>
      </c>
      <c r="M18" s="233"/>
      <c r="N18" s="189"/>
      <c r="O18" s="372">
        <f t="shared" ref="O18:O20" si="108">SUM(J18:N18)</f>
        <v>19</v>
      </c>
      <c r="P18" s="43">
        <f t="shared" ref="P18:P20" si="109">SUM(($H$4*H18)/24)*J18</f>
        <v>0</v>
      </c>
      <c r="Q18" s="40">
        <f t="shared" ref="Q18:Q20" si="110">SUM(($H$4*H18)/24)*K18</f>
        <v>0</v>
      </c>
      <c r="R18" s="42">
        <f t="shared" ref="R18:R20" si="111">($H$4*H18)/18*L18</f>
        <v>94895.246666666673</v>
      </c>
      <c r="S18" s="40">
        <f t="shared" ref="S18:S20" si="112">($H$4*H18)*M18/18</f>
        <v>0</v>
      </c>
      <c r="T18" s="40">
        <f t="shared" ref="T18:T20" si="113">($H$4*H18)/18*N18</f>
        <v>0</v>
      </c>
      <c r="U18" s="42">
        <f t="shared" ref="U18:U20" si="114">SUM(P18:T18)</f>
        <v>94895.246666666673</v>
      </c>
      <c r="V18" s="41"/>
      <c r="W18" s="40">
        <f t="shared" ref="W18:W20" si="115">(U18*V18)/100</f>
        <v>0</v>
      </c>
      <c r="X18" s="42">
        <f t="shared" ref="X18:X20" si="116">SUM(U18,W18)</f>
        <v>94895.246666666673</v>
      </c>
      <c r="Y18" s="264"/>
      <c r="Z18" s="42">
        <f t="shared" ref="Z18:Z20" si="117">($H$4*0.25)*Y18/18</f>
        <v>0</v>
      </c>
      <c r="AA18" s="265"/>
      <c r="AB18" s="8">
        <f t="shared" ref="AB18:AB20" si="118">SUM(($H$4*0.25)/18)*AA18</f>
        <v>0</v>
      </c>
      <c r="AC18" s="42"/>
      <c r="AD18" s="42">
        <f t="shared" ref="AD18:AD20" si="119">SUM(($H$4*0.25)/18*AC18)</f>
        <v>0</v>
      </c>
      <c r="AE18" s="264"/>
      <c r="AF18" s="8">
        <f t="shared" ref="AF18:AF20" si="120">SUM(($H$4*0.2)/18)*AE18</f>
        <v>0</v>
      </c>
      <c r="AG18" s="264"/>
      <c r="AH18" s="42">
        <f t="shared" ref="AH18:AH20" si="121">SUM(($H$4*0.2)/18)*AG18</f>
        <v>0</v>
      </c>
      <c r="AI18" s="264"/>
      <c r="AJ18" s="8">
        <f t="shared" ref="AJ18:AJ20" si="122">SUM(($H$4*0.2)/18)*AI18</f>
        <v>0</v>
      </c>
      <c r="AK18" s="266">
        <f t="shared" ref="AK18:AK20" si="123">SUM(Y18,AA18,AC18,AE18,AG18,AI18)</f>
        <v>0</v>
      </c>
      <c r="AL18" s="8">
        <f t="shared" ref="AL18:AL20" si="124">SUM(Z18,AB18,AD18,AF18,AH18,AJ18)</f>
        <v>0</v>
      </c>
      <c r="AM18" s="267"/>
      <c r="AN18" s="42">
        <f t="shared" ref="AN18:AN20" si="125">SUM($H$4*0.25)*AM18</f>
        <v>0</v>
      </c>
      <c r="AO18" s="265"/>
      <c r="AP18" s="42">
        <f t="shared" ref="AP18:AP20" si="126">SUM($H$4*0.3)*AO18</f>
        <v>0</v>
      </c>
      <c r="AQ18" s="42"/>
      <c r="AR18" s="42">
        <f t="shared" ref="AR18:AR20" si="127">SUM($H$4*0.2*AQ18)</f>
        <v>0</v>
      </c>
      <c r="AS18" s="264"/>
      <c r="AT18" s="42">
        <f t="shared" ref="AT18:AT30" si="128">SUM($H$4*$H18*AS18/18)</f>
        <v>0</v>
      </c>
      <c r="AU18" s="264"/>
      <c r="AV18" s="42">
        <f t="shared" ref="AV18:AV30" si="129">SUM($H$4*$H18*AU18/18)*0.7</f>
        <v>0</v>
      </c>
      <c r="AW18" s="267"/>
      <c r="AX18" s="42">
        <f t="shared" ref="AX18:AX30" si="130">SUM($H$4*$H18*AW18/18)*0.3</f>
        <v>0</v>
      </c>
      <c r="AY18" s="264"/>
      <c r="AZ18" s="42">
        <f t="shared" ref="AZ18:AZ20" si="131">SUM(($H$4*0.25)/18)*AY18</f>
        <v>0</v>
      </c>
      <c r="BA18" s="42"/>
      <c r="BB18" s="42">
        <f t="shared" ref="BB18:BB20" si="132">SUM($H$4*0.2)*BA18</f>
        <v>0</v>
      </c>
      <c r="BC18" s="42"/>
      <c r="BD18" s="42">
        <f t="shared" ref="BD18:BD20" si="133">((($H$4*BC18)/100)*20)/100</f>
        <v>0</v>
      </c>
      <c r="BE18" s="40">
        <f t="shared" ref="BE18:BE20" si="134">SUM(O18)</f>
        <v>19</v>
      </c>
      <c r="BF18" s="366">
        <f t="shared" ref="BF18:BF20" si="135">SUM((U18/O18*BE18)*0.3)</f>
        <v>28468.574000000001</v>
      </c>
      <c r="BG18" s="8">
        <f t="shared" ref="BG18:BG20" si="136">AL18+AN18+AP18+AT18+AV18+AX18+AZ18+BB18+BD18+BF18+AR18</f>
        <v>28468.574000000001</v>
      </c>
      <c r="BH18" s="42">
        <f t="shared" ref="BH18:BH20" si="137">BG18</f>
        <v>28468.574000000001</v>
      </c>
      <c r="BI18" s="42">
        <f>BH18*12</f>
        <v>341622.88800000004</v>
      </c>
    </row>
    <row r="19" spans="1:61">
      <c r="A19" s="62">
        <v>2</v>
      </c>
      <c r="B19" s="127" t="s">
        <v>179</v>
      </c>
      <c r="C19" s="340" t="s">
        <v>178</v>
      </c>
      <c r="D19" s="212" t="s">
        <v>163</v>
      </c>
      <c r="E19" s="219" t="s">
        <v>174</v>
      </c>
      <c r="F19" s="212">
        <v>2</v>
      </c>
      <c r="G19" s="221">
        <v>40</v>
      </c>
      <c r="H19" s="381">
        <v>5.16</v>
      </c>
      <c r="I19" s="187">
        <f t="shared" si="107"/>
        <v>1.1100000000000001</v>
      </c>
      <c r="J19" s="232"/>
      <c r="K19" s="232"/>
      <c r="L19" s="233"/>
      <c r="M19" s="306">
        <v>20</v>
      </c>
      <c r="N19" s="233"/>
      <c r="O19" s="372">
        <f t="shared" si="108"/>
        <v>20</v>
      </c>
      <c r="P19" s="43">
        <f t="shared" si="109"/>
        <v>0</v>
      </c>
      <c r="Q19" s="40">
        <f t="shared" si="110"/>
        <v>0</v>
      </c>
      <c r="R19" s="40">
        <f t="shared" si="111"/>
        <v>0</v>
      </c>
      <c r="S19" s="42">
        <f t="shared" si="112"/>
        <v>101462.8</v>
      </c>
      <c r="T19" s="40">
        <f t="shared" si="113"/>
        <v>0</v>
      </c>
      <c r="U19" s="42">
        <f t="shared" si="114"/>
        <v>101462.8</v>
      </c>
      <c r="V19" s="41"/>
      <c r="W19" s="40">
        <f t="shared" si="115"/>
        <v>0</v>
      </c>
      <c r="X19" s="42">
        <f t="shared" si="116"/>
        <v>101462.8</v>
      </c>
      <c r="Y19" s="264"/>
      <c r="Z19" s="42">
        <f t="shared" si="117"/>
        <v>0</v>
      </c>
      <c r="AA19" s="265"/>
      <c r="AB19" s="8">
        <f t="shared" si="118"/>
        <v>0</v>
      </c>
      <c r="AC19" s="42"/>
      <c r="AD19" s="42">
        <f t="shared" si="119"/>
        <v>0</v>
      </c>
      <c r="AE19" s="264"/>
      <c r="AF19" s="8">
        <f t="shared" si="120"/>
        <v>0</v>
      </c>
      <c r="AG19" s="264"/>
      <c r="AH19" s="42">
        <f t="shared" si="121"/>
        <v>0</v>
      </c>
      <c r="AI19" s="264"/>
      <c r="AJ19" s="8">
        <f t="shared" si="122"/>
        <v>0</v>
      </c>
      <c r="AK19" s="266">
        <f t="shared" si="123"/>
        <v>0</v>
      </c>
      <c r="AL19" s="8">
        <f t="shared" si="124"/>
        <v>0</v>
      </c>
      <c r="AM19" s="267"/>
      <c r="AN19" s="42">
        <f t="shared" si="125"/>
        <v>0</v>
      </c>
      <c r="AO19" s="265"/>
      <c r="AP19" s="42">
        <f t="shared" si="126"/>
        <v>0</v>
      </c>
      <c r="AQ19" s="42"/>
      <c r="AR19" s="42">
        <f t="shared" si="127"/>
        <v>0</v>
      </c>
      <c r="AS19" s="264"/>
      <c r="AT19" s="42">
        <f t="shared" si="128"/>
        <v>0</v>
      </c>
      <c r="AU19" s="264"/>
      <c r="AV19" s="42">
        <f t="shared" si="129"/>
        <v>0</v>
      </c>
      <c r="AW19" s="267"/>
      <c r="AX19" s="42">
        <f t="shared" si="130"/>
        <v>0</v>
      </c>
      <c r="AY19" s="264"/>
      <c r="AZ19" s="42">
        <f t="shared" si="131"/>
        <v>0</v>
      </c>
      <c r="BA19" s="42"/>
      <c r="BB19" s="42">
        <f t="shared" si="132"/>
        <v>0</v>
      </c>
      <c r="BC19" s="42"/>
      <c r="BD19" s="42">
        <f t="shared" si="133"/>
        <v>0</v>
      </c>
      <c r="BE19" s="40">
        <f t="shared" si="134"/>
        <v>20</v>
      </c>
      <c r="BF19" s="366">
        <f t="shared" si="135"/>
        <v>30438.84</v>
      </c>
      <c r="BG19" s="8">
        <f t="shared" si="136"/>
        <v>30438.84</v>
      </c>
      <c r="BH19" s="42">
        <f t="shared" si="137"/>
        <v>30438.84</v>
      </c>
      <c r="BI19" s="42">
        <f t="shared" ref="BI19:BI20" si="138">BH19*12</f>
        <v>365266.08</v>
      </c>
    </row>
    <row r="20" spans="1:61" ht="31.5">
      <c r="A20" s="4">
        <v>3</v>
      </c>
      <c r="B20" s="363" t="s">
        <v>164</v>
      </c>
      <c r="C20" s="340" t="s">
        <v>293</v>
      </c>
      <c r="D20" s="212" t="s">
        <v>163</v>
      </c>
      <c r="E20" s="219" t="s">
        <v>174</v>
      </c>
      <c r="F20" s="212">
        <v>2</v>
      </c>
      <c r="G20" s="221">
        <v>11</v>
      </c>
      <c r="H20" s="380">
        <v>4.8099999999999996</v>
      </c>
      <c r="I20" s="187">
        <f t="shared" si="107"/>
        <v>1</v>
      </c>
      <c r="J20" s="232"/>
      <c r="K20" s="232"/>
      <c r="L20" s="306">
        <v>4</v>
      </c>
      <c r="M20" s="306">
        <v>14</v>
      </c>
      <c r="N20" s="229"/>
      <c r="O20" s="372">
        <f t="shared" si="108"/>
        <v>18</v>
      </c>
      <c r="P20" s="43">
        <f t="shared" si="109"/>
        <v>0</v>
      </c>
      <c r="Q20" s="40">
        <f t="shared" si="110"/>
        <v>0</v>
      </c>
      <c r="R20" s="42">
        <f t="shared" si="111"/>
        <v>18916.126666666663</v>
      </c>
      <c r="S20" s="42">
        <f t="shared" si="112"/>
        <v>66206.443333333329</v>
      </c>
      <c r="T20" s="40">
        <f t="shared" si="113"/>
        <v>0</v>
      </c>
      <c r="U20" s="42">
        <f t="shared" si="114"/>
        <v>85122.569999999992</v>
      </c>
      <c r="V20" s="41"/>
      <c r="W20" s="40">
        <f t="shared" si="115"/>
        <v>0</v>
      </c>
      <c r="X20" s="42">
        <f t="shared" si="116"/>
        <v>85122.569999999992</v>
      </c>
      <c r="Y20" s="264"/>
      <c r="Z20" s="42">
        <f t="shared" si="117"/>
        <v>0</v>
      </c>
      <c r="AA20" s="265"/>
      <c r="AB20" s="8">
        <f t="shared" si="118"/>
        <v>0</v>
      </c>
      <c r="AC20" s="42"/>
      <c r="AD20" s="42">
        <f t="shared" si="119"/>
        <v>0</v>
      </c>
      <c r="AE20" s="264"/>
      <c r="AF20" s="8">
        <f t="shared" si="120"/>
        <v>0</v>
      </c>
      <c r="AG20" s="264"/>
      <c r="AH20" s="42">
        <f t="shared" si="121"/>
        <v>0</v>
      </c>
      <c r="AI20" s="264"/>
      <c r="AJ20" s="8">
        <f t="shared" si="122"/>
        <v>0</v>
      </c>
      <c r="AK20" s="266">
        <f t="shared" si="123"/>
        <v>0</v>
      </c>
      <c r="AL20" s="8">
        <f t="shared" si="124"/>
        <v>0</v>
      </c>
      <c r="AM20" s="267"/>
      <c r="AN20" s="42">
        <f t="shared" si="125"/>
        <v>0</v>
      </c>
      <c r="AO20" s="265"/>
      <c r="AP20" s="42">
        <f t="shared" si="126"/>
        <v>0</v>
      </c>
      <c r="AQ20" s="42"/>
      <c r="AR20" s="42">
        <f t="shared" si="127"/>
        <v>0</v>
      </c>
      <c r="AS20" s="264"/>
      <c r="AT20" s="42">
        <f t="shared" si="128"/>
        <v>0</v>
      </c>
      <c r="AU20" s="264"/>
      <c r="AV20" s="42">
        <f t="shared" si="129"/>
        <v>0</v>
      </c>
      <c r="AW20" s="267"/>
      <c r="AX20" s="42">
        <f t="shared" si="130"/>
        <v>0</v>
      </c>
      <c r="AY20" s="264"/>
      <c r="AZ20" s="42">
        <f t="shared" si="131"/>
        <v>0</v>
      </c>
      <c r="BA20" s="42"/>
      <c r="BB20" s="42">
        <f t="shared" si="132"/>
        <v>0</v>
      </c>
      <c r="BC20" s="42"/>
      <c r="BD20" s="42">
        <f t="shared" si="133"/>
        <v>0</v>
      </c>
      <c r="BE20" s="40">
        <f t="shared" si="134"/>
        <v>18</v>
      </c>
      <c r="BF20" s="366">
        <f t="shared" si="135"/>
        <v>25536.770999999993</v>
      </c>
      <c r="BG20" s="8">
        <f t="shared" si="136"/>
        <v>25536.770999999993</v>
      </c>
      <c r="BH20" s="42">
        <f t="shared" si="137"/>
        <v>25536.770999999993</v>
      </c>
      <c r="BI20" s="42">
        <f t="shared" si="138"/>
        <v>306441.25199999992</v>
      </c>
    </row>
    <row r="21" spans="1:61" ht="18.75" customHeight="1">
      <c r="A21" s="99"/>
      <c r="B21" s="126" t="s">
        <v>100</v>
      </c>
      <c r="C21" s="341"/>
      <c r="D21" s="100"/>
      <c r="E21" s="101"/>
      <c r="F21" s="102"/>
      <c r="G21" s="103"/>
      <c r="H21" s="288"/>
      <c r="I21" s="86">
        <f t="shared" ref="I21:BI21" si="139">SUM(I18:I20)</f>
        <v>3.17</v>
      </c>
      <c r="J21" s="86">
        <f t="shared" si="139"/>
        <v>0</v>
      </c>
      <c r="K21" s="86">
        <f t="shared" si="139"/>
        <v>0</v>
      </c>
      <c r="L21" s="86">
        <f t="shared" si="139"/>
        <v>23</v>
      </c>
      <c r="M21" s="86">
        <f t="shared" si="139"/>
        <v>34</v>
      </c>
      <c r="N21" s="86">
        <f t="shared" si="139"/>
        <v>0</v>
      </c>
      <c r="O21" s="86">
        <f t="shared" si="139"/>
        <v>57</v>
      </c>
      <c r="P21" s="86">
        <f t="shared" si="139"/>
        <v>0</v>
      </c>
      <c r="Q21" s="86">
        <f t="shared" si="139"/>
        <v>0</v>
      </c>
      <c r="R21" s="86">
        <f t="shared" si="139"/>
        <v>113811.37333333334</v>
      </c>
      <c r="S21" s="86">
        <f t="shared" si="139"/>
        <v>167669.24333333335</v>
      </c>
      <c r="T21" s="86">
        <f t="shared" si="139"/>
        <v>0</v>
      </c>
      <c r="U21" s="86">
        <f t="shared" si="139"/>
        <v>281480.6166666667</v>
      </c>
      <c r="V21" s="86">
        <f t="shared" si="139"/>
        <v>0</v>
      </c>
      <c r="W21" s="86">
        <f t="shared" si="139"/>
        <v>0</v>
      </c>
      <c r="X21" s="86">
        <f t="shared" si="139"/>
        <v>281480.6166666667</v>
      </c>
      <c r="Y21" s="86">
        <f t="shared" si="139"/>
        <v>0</v>
      </c>
      <c r="Z21" s="86">
        <f t="shared" si="139"/>
        <v>0</v>
      </c>
      <c r="AA21" s="86">
        <f t="shared" si="139"/>
        <v>0</v>
      </c>
      <c r="AB21" s="86">
        <f t="shared" si="139"/>
        <v>0</v>
      </c>
      <c r="AC21" s="86">
        <f t="shared" si="139"/>
        <v>0</v>
      </c>
      <c r="AD21" s="86">
        <f t="shared" si="139"/>
        <v>0</v>
      </c>
      <c r="AE21" s="86">
        <f t="shared" si="139"/>
        <v>0</v>
      </c>
      <c r="AF21" s="86">
        <f t="shared" si="139"/>
        <v>0</v>
      </c>
      <c r="AG21" s="86">
        <f t="shared" si="139"/>
        <v>0</v>
      </c>
      <c r="AH21" s="86">
        <f t="shared" si="139"/>
        <v>0</v>
      </c>
      <c r="AI21" s="86">
        <f t="shared" si="139"/>
        <v>0</v>
      </c>
      <c r="AJ21" s="86">
        <f t="shared" si="139"/>
        <v>0</v>
      </c>
      <c r="AK21" s="86">
        <f t="shared" si="139"/>
        <v>0</v>
      </c>
      <c r="AL21" s="86">
        <f t="shared" si="139"/>
        <v>0</v>
      </c>
      <c r="AM21" s="86">
        <f t="shared" si="139"/>
        <v>0</v>
      </c>
      <c r="AN21" s="86">
        <f t="shared" si="139"/>
        <v>0</v>
      </c>
      <c r="AO21" s="86">
        <f t="shared" si="139"/>
        <v>0</v>
      </c>
      <c r="AP21" s="86">
        <f t="shared" si="139"/>
        <v>0</v>
      </c>
      <c r="AQ21" s="86">
        <f t="shared" si="139"/>
        <v>0</v>
      </c>
      <c r="AR21" s="86">
        <f t="shared" si="139"/>
        <v>0</v>
      </c>
      <c r="AS21" s="86">
        <f t="shared" si="139"/>
        <v>0</v>
      </c>
      <c r="AT21" s="86">
        <f t="shared" si="139"/>
        <v>0</v>
      </c>
      <c r="AU21" s="86">
        <f t="shared" si="139"/>
        <v>0</v>
      </c>
      <c r="AV21" s="86">
        <f t="shared" si="139"/>
        <v>0</v>
      </c>
      <c r="AW21" s="86">
        <f t="shared" si="139"/>
        <v>0</v>
      </c>
      <c r="AX21" s="86">
        <f t="shared" si="139"/>
        <v>0</v>
      </c>
      <c r="AY21" s="86">
        <f t="shared" si="139"/>
        <v>0</v>
      </c>
      <c r="AZ21" s="86">
        <f t="shared" si="139"/>
        <v>0</v>
      </c>
      <c r="BA21" s="86">
        <f t="shared" si="139"/>
        <v>0</v>
      </c>
      <c r="BB21" s="86">
        <f t="shared" si="139"/>
        <v>0</v>
      </c>
      <c r="BC21" s="86">
        <f t="shared" si="139"/>
        <v>0</v>
      </c>
      <c r="BD21" s="86">
        <f t="shared" si="139"/>
        <v>0</v>
      </c>
      <c r="BE21" s="86">
        <f t="shared" si="139"/>
        <v>57</v>
      </c>
      <c r="BF21" s="86">
        <f t="shared" si="139"/>
        <v>84444.184999999998</v>
      </c>
      <c r="BG21" s="86">
        <f t="shared" si="139"/>
        <v>84444.184999999998</v>
      </c>
      <c r="BH21" s="86">
        <f t="shared" si="139"/>
        <v>84444.184999999998</v>
      </c>
      <c r="BI21" s="86">
        <f t="shared" si="139"/>
        <v>1013330.22</v>
      </c>
    </row>
    <row r="22" spans="1:61" ht="31.5">
      <c r="A22" s="62">
        <v>1</v>
      </c>
      <c r="B22" s="134" t="s">
        <v>171</v>
      </c>
      <c r="C22" s="342" t="s">
        <v>299</v>
      </c>
      <c r="D22" s="212" t="s">
        <v>163</v>
      </c>
      <c r="E22" s="192" t="s">
        <v>161</v>
      </c>
      <c r="F22" s="212" t="s">
        <v>150</v>
      </c>
      <c r="G22" s="280">
        <v>19.03</v>
      </c>
      <c r="H22" s="381">
        <v>4.59</v>
      </c>
      <c r="I22" s="187">
        <f t="shared" ref="I22:I23" si="140">ROUND((((J22+K22))/24)+(L22+M22+N22)/18,2)</f>
        <v>0.67</v>
      </c>
      <c r="J22" s="232"/>
      <c r="K22" s="232"/>
      <c r="L22" s="306">
        <v>12</v>
      </c>
      <c r="M22" s="306"/>
      <c r="N22" s="233"/>
      <c r="O22" s="374">
        <f t="shared" ref="O22" si="141">SUM(J22:N22)</f>
        <v>12</v>
      </c>
      <c r="P22" s="43">
        <f t="shared" ref="P22" si="142">SUM(($H$4*H22)/24)*J22</f>
        <v>0</v>
      </c>
      <c r="Q22" s="40">
        <f t="shared" ref="Q22" si="143">SUM(($H$4*H22)/24)*K22</f>
        <v>0</v>
      </c>
      <c r="R22" s="42">
        <f t="shared" ref="R22" si="144">($H$4*H22)/18*L22</f>
        <v>54152.819999999992</v>
      </c>
      <c r="S22" s="42">
        <f t="shared" ref="S22" si="145">($H$4*H22)*M22/18</f>
        <v>0</v>
      </c>
      <c r="T22" s="40">
        <f t="shared" ref="T22" si="146">($H$4*H22)/18*N22</f>
        <v>0</v>
      </c>
      <c r="U22" s="42">
        <f t="shared" ref="U22" si="147">SUM(P22:T22)</f>
        <v>54152.819999999992</v>
      </c>
      <c r="V22" s="41"/>
      <c r="W22" s="40">
        <f t="shared" ref="W22" si="148">(U22*V22)/100</f>
        <v>0</v>
      </c>
      <c r="X22" s="42">
        <f t="shared" ref="X22" si="149">SUM(U22,W22)</f>
        <v>54152.819999999992</v>
      </c>
      <c r="Y22" s="264"/>
      <c r="Z22" s="42">
        <f t="shared" ref="Z22" si="150">($H$4*0.25)*Y22/18</f>
        <v>0</v>
      </c>
      <c r="AA22" s="265"/>
      <c r="AB22" s="8">
        <f t="shared" ref="AB22" si="151">SUM(($H$4*0.25)/18)*AA22</f>
        <v>0</v>
      </c>
      <c r="AC22" s="42"/>
      <c r="AD22" s="42">
        <f t="shared" ref="AD22" si="152">SUM(($H$4*0.25)/18*AC22)</f>
        <v>0</v>
      </c>
      <c r="AE22" s="264"/>
      <c r="AF22" s="8">
        <f t="shared" ref="AF22" si="153">SUM(($H$4*0.2)/18)*AE22</f>
        <v>0</v>
      </c>
      <c r="AG22" s="264"/>
      <c r="AH22" s="42">
        <f t="shared" ref="AH22" si="154">SUM(($H$4*0.2)/18)*AG22</f>
        <v>0</v>
      </c>
      <c r="AI22" s="264"/>
      <c r="AJ22" s="8">
        <f t="shared" ref="AJ22" si="155">SUM(($H$4*0.2)/18)*AI22</f>
        <v>0</v>
      </c>
      <c r="AK22" s="266">
        <f t="shared" ref="AK22" si="156">SUM(Y22,AA22,AC22,AE22,AG22,AI22)</f>
        <v>0</v>
      </c>
      <c r="AL22" s="8">
        <f t="shared" ref="AL22" si="157">SUM(Z22,AB22,AD22,AF22,AH22,AJ22)</f>
        <v>0</v>
      </c>
      <c r="AM22" s="267"/>
      <c r="AN22" s="42">
        <f t="shared" ref="AN22" si="158">SUM($H$4*0.25)*AM22</f>
        <v>0</v>
      </c>
      <c r="AO22" s="265"/>
      <c r="AP22" s="42">
        <f t="shared" ref="AP22" si="159">SUM($H$4*0.3)*AO22</f>
        <v>0</v>
      </c>
      <c r="AQ22" s="42"/>
      <c r="AR22" s="42">
        <f t="shared" ref="AR22" si="160">SUM($H$4*0.2*AQ22)</f>
        <v>0</v>
      </c>
      <c r="AS22" s="264"/>
      <c r="AT22" s="42">
        <f t="shared" si="128"/>
        <v>0</v>
      </c>
      <c r="AU22" s="264"/>
      <c r="AV22" s="42">
        <f t="shared" si="129"/>
        <v>0</v>
      </c>
      <c r="AW22" s="267"/>
      <c r="AX22" s="42">
        <f t="shared" si="130"/>
        <v>0</v>
      </c>
      <c r="AY22" s="264"/>
      <c r="AZ22" s="42">
        <f t="shared" ref="AZ22" si="161">SUM(($H$4*0.25)/18)*AY22</f>
        <v>0</v>
      </c>
      <c r="BA22" s="42"/>
      <c r="BB22" s="42">
        <f t="shared" ref="BB22" si="162">SUM($H$4*0.2)*BA22</f>
        <v>0</v>
      </c>
      <c r="BC22" s="42"/>
      <c r="BD22" s="42">
        <f t="shared" ref="BD22" si="163">((($H$4*BC22)/100)*20)/100</f>
        <v>0</v>
      </c>
      <c r="BE22" s="40">
        <f t="shared" ref="BE22" si="164">SUM(O22)</f>
        <v>12</v>
      </c>
      <c r="BF22" s="366">
        <f t="shared" ref="BF22:BF23" si="165">SUM((U22/O22*BE22)*0.3)</f>
        <v>16245.845999999998</v>
      </c>
      <c r="BG22" s="8">
        <f t="shared" ref="BG22" si="166">AL22+AN22+AP22+AT22+AV22+AX22+AZ22+BB22+BD22+BF22+AR22</f>
        <v>16245.845999999998</v>
      </c>
      <c r="BH22" s="42">
        <f t="shared" ref="BH22" si="167">BG22</f>
        <v>16245.845999999998</v>
      </c>
      <c r="BI22" s="42">
        <f>BH22*12</f>
        <v>194950.15199999997</v>
      </c>
    </row>
    <row r="23" spans="1:61" ht="30.75">
      <c r="A23" s="247">
        <v>2</v>
      </c>
      <c r="B23" s="291" t="s">
        <v>352</v>
      </c>
      <c r="C23" s="278" t="s">
        <v>383</v>
      </c>
      <c r="D23" s="212" t="s">
        <v>162</v>
      </c>
      <c r="E23" s="130" t="s">
        <v>161</v>
      </c>
      <c r="F23" s="212" t="s">
        <v>153</v>
      </c>
      <c r="G23" s="212">
        <v>15.05</v>
      </c>
      <c r="H23" s="381">
        <v>4.49</v>
      </c>
      <c r="I23" s="187">
        <f t="shared" si="140"/>
        <v>1.28</v>
      </c>
      <c r="J23" s="232"/>
      <c r="K23" s="221"/>
      <c r="L23" s="306">
        <v>23</v>
      </c>
      <c r="M23" s="233"/>
      <c r="N23" s="233"/>
      <c r="O23" s="374">
        <f t="shared" ref="O23" si="168">SUM(J23:N23)</f>
        <v>23</v>
      </c>
      <c r="P23" s="43">
        <f t="shared" ref="P23" si="169">SUM(($H$4*H23)/24)*J23</f>
        <v>0</v>
      </c>
      <c r="Q23" s="40">
        <f t="shared" ref="Q23:Q24" si="170">SUM(($H$4*H23)/24)*K23</f>
        <v>0</v>
      </c>
      <c r="R23" s="42">
        <f t="shared" ref="R23:R24" si="171">($H$4*H23)/18*L23</f>
        <v>101531.62166666666</v>
      </c>
      <c r="S23" s="40">
        <f t="shared" ref="S23:S24" si="172">($H$4*H23)*M23/18</f>
        <v>0</v>
      </c>
      <c r="T23" s="40">
        <f t="shared" ref="T23:T24" si="173">($H$4*H23)/18*N23</f>
        <v>0</v>
      </c>
      <c r="U23" s="42">
        <f t="shared" ref="U23:U24" si="174">SUM(P23:T23)</f>
        <v>101531.62166666666</v>
      </c>
      <c r="V23" s="41"/>
      <c r="W23" s="40">
        <f t="shared" ref="W23:W24" si="175">(U23*V23)/100</f>
        <v>0</v>
      </c>
      <c r="X23" s="42">
        <f t="shared" ref="X23:X24" si="176">SUM(U23,W23)</f>
        <v>101531.62166666666</v>
      </c>
      <c r="Y23" s="264"/>
      <c r="Z23" s="42">
        <f t="shared" ref="Z23:Z24" si="177">($H$4*0.25)*Y23/18</f>
        <v>0</v>
      </c>
      <c r="AA23" s="265"/>
      <c r="AB23" s="8">
        <f t="shared" ref="AB23:AB24" si="178">SUM(($H$4*0.25)/18)*AA23</f>
        <v>0</v>
      </c>
      <c r="AC23" s="42"/>
      <c r="AD23" s="42">
        <f t="shared" ref="AD23:AD24" si="179">SUM(($H$4*0.25)/18*AC23)</f>
        <v>0</v>
      </c>
      <c r="AE23" s="264"/>
      <c r="AF23" s="8">
        <f t="shared" ref="AF23:AF24" si="180">SUM(($H$4*0.2)/18)*AE23</f>
        <v>0</v>
      </c>
      <c r="AG23" s="264"/>
      <c r="AH23" s="42">
        <f t="shared" ref="AH23:AH24" si="181">SUM(($H$4*0.2)/18)*AG23</f>
        <v>0</v>
      </c>
      <c r="AI23" s="264"/>
      <c r="AJ23" s="8">
        <f t="shared" ref="AJ23:AJ24" si="182">SUM(($H$4*0.2)/18)*AI23</f>
        <v>0</v>
      </c>
      <c r="AK23" s="266">
        <f t="shared" ref="AK23:AK24" si="183">SUM(Y23,AA23,AC23,AE23,AG23,AI23)</f>
        <v>0</v>
      </c>
      <c r="AL23" s="8">
        <f t="shared" ref="AL23:AL24" si="184">SUM(Z23,AB23,AD23,AF23,AH23,AJ23)</f>
        <v>0</v>
      </c>
      <c r="AM23" s="267"/>
      <c r="AN23" s="42">
        <f t="shared" ref="AN23:AN24" si="185">SUM($H$4*0.25)*AM23</f>
        <v>0</v>
      </c>
      <c r="AO23" s="265"/>
      <c r="AP23" s="42">
        <f t="shared" ref="AP23:AP24" si="186">SUM($H$4*0.3)*AO23</f>
        <v>0</v>
      </c>
      <c r="AQ23" s="42"/>
      <c r="AR23" s="42">
        <f t="shared" ref="AR23:AR24" si="187">SUM($H$4*0.2*AQ23)</f>
        <v>0</v>
      </c>
      <c r="AS23" s="264"/>
      <c r="AT23" s="42">
        <f t="shared" si="128"/>
        <v>0</v>
      </c>
      <c r="AU23" s="264"/>
      <c r="AV23" s="42">
        <f t="shared" si="129"/>
        <v>0</v>
      </c>
      <c r="AW23" s="267"/>
      <c r="AX23" s="42">
        <f t="shared" si="130"/>
        <v>0</v>
      </c>
      <c r="AY23" s="264"/>
      <c r="AZ23" s="42">
        <f t="shared" ref="AZ23" si="188">SUM(($H$4*0.25)/18)*AY23</f>
        <v>0</v>
      </c>
      <c r="BA23" s="42"/>
      <c r="BB23" s="42">
        <f t="shared" ref="BB23:BB24" si="189">SUM($H$4*0.2)*BA23</f>
        <v>0</v>
      </c>
      <c r="BC23" s="42"/>
      <c r="BD23" s="42">
        <f t="shared" ref="BD23:BD24" si="190">((($H$4*BC23)/100)*20)/100</f>
        <v>0</v>
      </c>
      <c r="BE23" s="40">
        <f t="shared" ref="BE23:BE24" si="191">SUM(O23)</f>
        <v>23</v>
      </c>
      <c r="BF23" s="366">
        <f t="shared" si="165"/>
        <v>30459.486499999995</v>
      </c>
      <c r="BG23" s="8">
        <f t="shared" ref="BG23:BG24" si="192">AL23+AN23+AP23+AT23+AV23+AX23+AZ23+BB23+BD23+BF23+AR23</f>
        <v>30459.486499999995</v>
      </c>
      <c r="BH23" s="42">
        <f t="shared" ref="BH23:BH24" si="193">BG23</f>
        <v>30459.486499999995</v>
      </c>
      <c r="BI23" s="42">
        <f t="shared" ref="BI23:BI26" si="194">BH23*12</f>
        <v>365513.83799999993</v>
      </c>
    </row>
    <row r="24" spans="1:61" ht="36.75" customHeight="1">
      <c r="A24" s="413">
        <v>3</v>
      </c>
      <c r="B24" s="133" t="s">
        <v>283</v>
      </c>
      <c r="C24" s="338" t="s">
        <v>350</v>
      </c>
      <c r="D24" s="100" t="s">
        <v>162</v>
      </c>
      <c r="E24" s="101" t="s">
        <v>161</v>
      </c>
      <c r="F24" s="102" t="s">
        <v>150</v>
      </c>
      <c r="G24" s="278">
        <v>3.02</v>
      </c>
      <c r="H24" s="380">
        <v>4.2300000000000004</v>
      </c>
      <c r="I24" s="443">
        <f>ROUND((((J24+K24))/24)+(L24+M24+N24)/18,2)</f>
        <v>1.17</v>
      </c>
      <c r="J24" s="86"/>
      <c r="K24" s="86"/>
      <c r="L24" s="86"/>
      <c r="M24" s="416">
        <v>21</v>
      </c>
      <c r="N24" s="86"/>
      <c r="O24" s="374">
        <f t="shared" ref="O24" si="195">SUM(J24:N24)</f>
        <v>21</v>
      </c>
      <c r="P24" s="43">
        <f t="shared" ref="P24" si="196">SUM(($H$4*H24)/24)*J24</f>
        <v>0</v>
      </c>
      <c r="Q24" s="40">
        <f t="shared" si="170"/>
        <v>0</v>
      </c>
      <c r="R24" s="42">
        <f t="shared" si="171"/>
        <v>0</v>
      </c>
      <c r="S24" s="40">
        <f t="shared" si="172"/>
        <v>87334.695000000007</v>
      </c>
      <c r="T24" s="40">
        <f t="shared" si="173"/>
        <v>0</v>
      </c>
      <c r="U24" s="42">
        <f t="shared" si="174"/>
        <v>87334.695000000007</v>
      </c>
      <c r="V24" s="41"/>
      <c r="W24" s="40">
        <f t="shared" si="175"/>
        <v>0</v>
      </c>
      <c r="X24" s="42">
        <f t="shared" si="176"/>
        <v>87334.695000000007</v>
      </c>
      <c r="Y24" s="264"/>
      <c r="Z24" s="42">
        <f t="shared" si="177"/>
        <v>0</v>
      </c>
      <c r="AA24" s="265"/>
      <c r="AB24" s="8">
        <f t="shared" si="178"/>
        <v>0</v>
      </c>
      <c r="AC24" s="42"/>
      <c r="AD24" s="42">
        <f t="shared" si="179"/>
        <v>0</v>
      </c>
      <c r="AE24" s="264"/>
      <c r="AF24" s="8">
        <f t="shared" si="180"/>
        <v>0</v>
      </c>
      <c r="AG24" s="264"/>
      <c r="AH24" s="42">
        <f t="shared" si="181"/>
        <v>0</v>
      </c>
      <c r="AI24" s="264"/>
      <c r="AJ24" s="8">
        <f t="shared" si="182"/>
        <v>0</v>
      </c>
      <c r="AK24" s="266">
        <f t="shared" si="183"/>
        <v>0</v>
      </c>
      <c r="AL24" s="8">
        <f t="shared" si="184"/>
        <v>0</v>
      </c>
      <c r="AM24" s="267"/>
      <c r="AN24" s="42">
        <f t="shared" si="185"/>
        <v>0</v>
      </c>
      <c r="AO24" s="265"/>
      <c r="AP24" s="42">
        <f t="shared" si="186"/>
        <v>0</v>
      </c>
      <c r="AQ24" s="42"/>
      <c r="AR24" s="42">
        <f t="shared" si="187"/>
        <v>0</v>
      </c>
      <c r="AS24" s="264"/>
      <c r="AT24" s="42">
        <f t="shared" si="128"/>
        <v>0</v>
      </c>
      <c r="AU24" s="264"/>
      <c r="AV24" s="42">
        <f t="shared" si="129"/>
        <v>0</v>
      </c>
      <c r="AW24" s="267"/>
      <c r="AX24" s="42">
        <f t="shared" si="130"/>
        <v>0</v>
      </c>
      <c r="AY24" s="264"/>
      <c r="AZ24" s="42">
        <f t="shared" ref="AZ24" si="197">SUM(($H$4*0.25)/18)*AY24</f>
        <v>0</v>
      </c>
      <c r="BA24" s="42"/>
      <c r="BB24" s="42">
        <f t="shared" si="189"/>
        <v>0</v>
      </c>
      <c r="BC24" s="42"/>
      <c r="BD24" s="42">
        <f t="shared" si="190"/>
        <v>0</v>
      </c>
      <c r="BE24" s="40">
        <f t="shared" si="191"/>
        <v>21</v>
      </c>
      <c r="BF24" s="366">
        <f t="shared" ref="BF24" si="198">SUM((U24/O24*BE24)*0.3)</f>
        <v>26200.408500000001</v>
      </c>
      <c r="BG24" s="8">
        <f t="shared" si="192"/>
        <v>26200.408500000001</v>
      </c>
      <c r="BH24" s="42">
        <f t="shared" si="193"/>
        <v>26200.408500000001</v>
      </c>
      <c r="BI24" s="42">
        <f t="shared" si="194"/>
        <v>314404.902</v>
      </c>
    </row>
    <row r="25" spans="1:61" ht="31.5">
      <c r="A25" s="62">
        <v>4</v>
      </c>
      <c r="B25" s="134" t="s">
        <v>308</v>
      </c>
      <c r="C25" s="415" t="s">
        <v>351</v>
      </c>
      <c r="D25" s="212" t="s">
        <v>162</v>
      </c>
      <c r="E25" s="130" t="s">
        <v>161</v>
      </c>
      <c r="F25" s="212" t="s">
        <v>150</v>
      </c>
      <c r="G25" s="212">
        <v>2</v>
      </c>
      <c r="H25" s="381">
        <v>4.1900000000000004</v>
      </c>
      <c r="I25" s="187">
        <f>ROUND((((J25+K25))/24)+(L25+M25+N25)/18,2)</f>
        <v>1.44</v>
      </c>
      <c r="J25" s="232"/>
      <c r="K25" s="221"/>
      <c r="L25" s="306">
        <v>3</v>
      </c>
      <c r="M25" s="233">
        <v>23</v>
      </c>
      <c r="N25" s="233"/>
      <c r="O25" s="372">
        <v>26</v>
      </c>
      <c r="P25" s="43">
        <f t="shared" ref="P25" si="199">SUM(($H$4*H25)/24)*J25</f>
        <v>0</v>
      </c>
      <c r="Q25" s="40">
        <f t="shared" ref="Q25" si="200">SUM(($H$4*H25)/24)*K25</f>
        <v>0</v>
      </c>
      <c r="R25" s="42">
        <f t="shared" ref="R25" si="201">($H$4*H25)/18*L25</f>
        <v>12358.405000000002</v>
      </c>
      <c r="S25" s="40">
        <f t="shared" ref="S25" si="202">($H$4*H25)*M25/18</f>
        <v>94747.771666666667</v>
      </c>
      <c r="T25" s="40">
        <f t="shared" ref="T25" si="203">($H$4*H25)/18*N25</f>
        <v>0</v>
      </c>
      <c r="U25" s="42">
        <f t="shared" ref="U25" si="204">SUM(P25:T25)</f>
        <v>107106.17666666667</v>
      </c>
      <c r="V25" s="41"/>
      <c r="W25" s="40">
        <f t="shared" ref="W25" si="205">(U25*V25)/100</f>
        <v>0</v>
      </c>
      <c r="X25" s="42">
        <f t="shared" ref="X25" si="206">SUM(U25,W25)</f>
        <v>107106.17666666667</v>
      </c>
      <c r="Y25" s="264"/>
      <c r="Z25" s="42">
        <f t="shared" ref="Z25" si="207">($H$4*0.25)*Y25/18</f>
        <v>0</v>
      </c>
      <c r="AA25" s="265"/>
      <c r="AB25" s="8">
        <f t="shared" ref="AB25" si="208">SUM(($H$4*0.25)/18)*AA25</f>
        <v>0</v>
      </c>
      <c r="AC25" s="42"/>
      <c r="AD25" s="42">
        <f t="shared" ref="AD25" si="209">SUM(($H$4*0.25)/18*AC25)</f>
        <v>0</v>
      </c>
      <c r="AE25" s="264"/>
      <c r="AF25" s="8">
        <f t="shared" ref="AF25" si="210">SUM(($H$4*0.2)/18)*AE25</f>
        <v>0</v>
      </c>
      <c r="AG25" s="264"/>
      <c r="AH25" s="42">
        <f t="shared" ref="AH25" si="211">SUM(($H$4*0.2)/18)*AG25</f>
        <v>0</v>
      </c>
      <c r="AI25" s="264"/>
      <c r="AJ25" s="8">
        <f t="shared" ref="AJ25" si="212">SUM(($H$4*0.2)/18)*AI25</f>
        <v>0</v>
      </c>
      <c r="AK25" s="266">
        <f t="shared" ref="AK25" si="213">SUM(Y25,AA25,AC25,AE25,AG25,AI25)</f>
        <v>0</v>
      </c>
      <c r="AL25" s="8">
        <f t="shared" ref="AL25" si="214">SUM(Z25,AB25,AD25,AF25,AH25,AJ25)</f>
        <v>0</v>
      </c>
      <c r="AM25" s="267"/>
      <c r="AN25" s="42">
        <f t="shared" ref="AN25" si="215">SUM($H$4*0.25)*AM25</f>
        <v>0</v>
      </c>
      <c r="AO25" s="265"/>
      <c r="AP25" s="42">
        <f t="shared" ref="AP25" si="216">SUM($H$4*0.3)*AO25</f>
        <v>0</v>
      </c>
      <c r="AQ25" s="42"/>
      <c r="AR25" s="42">
        <f t="shared" ref="AR25" si="217">SUM($H$4*0.2*AQ25)</f>
        <v>0</v>
      </c>
      <c r="AS25" s="264"/>
      <c r="AT25" s="42">
        <f t="shared" ref="AT25" si="218">SUM($H$4*$H25*AS25/18)</f>
        <v>0</v>
      </c>
      <c r="AU25" s="264"/>
      <c r="AV25" s="42">
        <f t="shared" ref="AV25" si="219">SUM($H$4*$H25*AU25/18)*0.7</f>
        <v>0</v>
      </c>
      <c r="AW25" s="267"/>
      <c r="AX25" s="42">
        <f t="shared" ref="AX25" si="220">SUM($H$4*$H25*AW25/18)*0.3</f>
        <v>0</v>
      </c>
      <c r="AY25" s="264"/>
      <c r="AZ25" s="42">
        <f t="shared" ref="AZ25" si="221">SUM(($H$4*0.25)/18)*AY25</f>
        <v>0</v>
      </c>
      <c r="BA25" s="42"/>
      <c r="BB25" s="42">
        <f t="shared" ref="BB25" si="222">SUM($H$4*0.2)*BA25</f>
        <v>0</v>
      </c>
      <c r="BC25" s="42"/>
      <c r="BD25" s="42">
        <f t="shared" ref="BD25" si="223">((($H$4*BC25)/100)*20)/100</f>
        <v>0</v>
      </c>
      <c r="BE25" s="40">
        <f t="shared" ref="BE25" si="224">SUM(O25)</f>
        <v>26</v>
      </c>
      <c r="BF25" s="366">
        <f t="shared" ref="BF25" si="225">SUM((U25/O25*BE25)*0.3)</f>
        <v>32131.852999999999</v>
      </c>
      <c r="BG25" s="8">
        <f t="shared" ref="BG25" si="226">AL25+AN25+AP25+AT25+AV25+AX25+AZ25+BB25+BD25+BF25+AR25</f>
        <v>32131.852999999999</v>
      </c>
      <c r="BH25" s="42">
        <f t="shared" ref="BH25" si="227">BG25</f>
        <v>32131.852999999999</v>
      </c>
      <c r="BI25" s="42">
        <f t="shared" ref="BI25" si="228">BH25*12</f>
        <v>385582.23599999998</v>
      </c>
    </row>
    <row r="26" spans="1:61" ht="31.5">
      <c r="A26" s="247">
        <v>5</v>
      </c>
      <c r="B26" s="134" t="s">
        <v>165</v>
      </c>
      <c r="C26" s="339" t="s">
        <v>284</v>
      </c>
      <c r="D26" s="212" t="s">
        <v>163</v>
      </c>
      <c r="E26" s="130" t="s">
        <v>161</v>
      </c>
      <c r="F26" s="212" t="s">
        <v>150</v>
      </c>
      <c r="G26" s="212">
        <v>14.04</v>
      </c>
      <c r="H26" s="380">
        <v>4.49</v>
      </c>
      <c r="I26" s="187">
        <f>ROUND((((J26+K26))/24)+(L26+M26+N26)/18,2)</f>
        <v>1.5</v>
      </c>
      <c r="J26" s="232"/>
      <c r="K26" s="221"/>
      <c r="L26" s="306"/>
      <c r="M26" s="306">
        <v>27</v>
      </c>
      <c r="N26" s="233"/>
      <c r="O26" s="372">
        <f>SUM(J26:N26)</f>
        <v>27</v>
      </c>
      <c r="P26" s="43">
        <f>SUM(($H$4*H26)/24)*J26</f>
        <v>0</v>
      </c>
      <c r="Q26" s="40">
        <f>SUM(($H$4*H26)/24)*K26</f>
        <v>0</v>
      </c>
      <c r="R26" s="42">
        <f>($H$4*H26)/18*L26</f>
        <v>0</v>
      </c>
      <c r="S26" s="42">
        <f>($H$4*H26)*M26/18</f>
        <v>119189.295</v>
      </c>
      <c r="T26" s="40">
        <f>($H$4*H26)/18*N26</f>
        <v>0</v>
      </c>
      <c r="U26" s="42">
        <f>SUM(P26:T26)</f>
        <v>119189.295</v>
      </c>
      <c r="V26" s="41"/>
      <c r="W26" s="40">
        <f>(U26*V26)/100</f>
        <v>0</v>
      </c>
      <c r="X26" s="42">
        <f>SUM(U26,W26)</f>
        <v>119189.295</v>
      </c>
      <c r="Y26" s="264"/>
      <c r="Z26" s="42">
        <f>($H$4*0.25)*Y26/18</f>
        <v>0</v>
      </c>
      <c r="AA26" s="265"/>
      <c r="AB26" s="8">
        <f>SUM(($H$4*0.25)/18)*AA26</f>
        <v>0</v>
      </c>
      <c r="AC26" s="42"/>
      <c r="AD26" s="42">
        <f>SUM(($H$4*0.25)/18*AC26)</f>
        <v>0</v>
      </c>
      <c r="AE26" s="264"/>
      <c r="AF26" s="8">
        <f>SUM(($H$4*0.2)/18)*AE26</f>
        <v>0</v>
      </c>
      <c r="AG26" s="264"/>
      <c r="AH26" s="42">
        <f>SUM(($H$4*0.2)/18)*AG26</f>
        <v>0</v>
      </c>
      <c r="AI26" s="264"/>
      <c r="AJ26" s="8">
        <f>SUM(($H$4*0.2)/18)*AI26</f>
        <v>0</v>
      </c>
      <c r="AK26" s="266">
        <f>SUM(Y26,AA26,AC26,AE26,AG26,AI26)</f>
        <v>0</v>
      </c>
      <c r="AL26" s="8">
        <f>SUM(Z26,AB26,AD26,AF26,AH26,AJ26)</f>
        <v>0</v>
      </c>
      <c r="AM26" s="267"/>
      <c r="AN26" s="42">
        <f>SUM($H$4*0.25)*AM26</f>
        <v>0</v>
      </c>
      <c r="AO26" s="265"/>
      <c r="AP26" s="42">
        <f>SUM($H$4*0.3)*AO26</f>
        <v>0</v>
      </c>
      <c r="AQ26" s="42"/>
      <c r="AR26" s="42">
        <f>SUM($H$4*0.2*AQ26)</f>
        <v>0</v>
      </c>
      <c r="AS26" s="264"/>
      <c r="AT26" s="42">
        <f>SUM($H$4*$H26*AS26/18)</f>
        <v>0</v>
      </c>
      <c r="AU26" s="264"/>
      <c r="AV26" s="42">
        <f>SUM($H$4*$H26*AU26/18)*0.7</f>
        <v>0</v>
      </c>
      <c r="AW26" s="267"/>
      <c r="AX26" s="42">
        <f>SUM($H$4*$H26*AW26/18)*0.3</f>
        <v>0</v>
      </c>
      <c r="AY26" s="264"/>
      <c r="AZ26" s="42">
        <f>SUM(($H$4*0.25)/18)*AY26</f>
        <v>0</v>
      </c>
      <c r="BA26" s="42"/>
      <c r="BB26" s="42">
        <f>SUM($H$4*0.2)*BA26</f>
        <v>0</v>
      </c>
      <c r="BC26" s="42"/>
      <c r="BD26" s="42">
        <f>((($H$4*BC26)/100)*20)/100</f>
        <v>0</v>
      </c>
      <c r="BE26" s="40">
        <f>SUM(O26)</f>
        <v>27</v>
      </c>
      <c r="BF26" s="366">
        <f>SUM((U26/O26*BE26)*0.3)</f>
        <v>35756.788499999995</v>
      </c>
      <c r="BG26" s="8">
        <f>AL26+AN26+AP26+AT26+AV26+AX26+AZ26+BB26+BD26+BF26+AR26</f>
        <v>35756.788499999995</v>
      </c>
      <c r="BH26" s="42">
        <f>BG26</f>
        <v>35756.788499999995</v>
      </c>
      <c r="BI26" s="42">
        <f t="shared" si="194"/>
        <v>429081.46199999994</v>
      </c>
    </row>
    <row r="27" spans="1:61" ht="18.75" customHeight="1">
      <c r="A27" s="99"/>
      <c r="B27" s="126" t="s">
        <v>101</v>
      </c>
      <c r="C27" s="341"/>
      <c r="D27" s="100"/>
      <c r="E27" s="101"/>
      <c r="F27" s="102"/>
      <c r="G27" s="103"/>
      <c r="H27" s="288"/>
      <c r="I27" s="86">
        <f t="shared" ref="I27:BI27" si="229">SUM(I22:I26)</f>
        <v>6.0600000000000005</v>
      </c>
      <c r="J27" s="86">
        <f t="shared" si="229"/>
        <v>0</v>
      </c>
      <c r="K27" s="86">
        <f t="shared" si="229"/>
        <v>0</v>
      </c>
      <c r="L27" s="86">
        <f t="shared" si="229"/>
        <v>38</v>
      </c>
      <c r="M27" s="86">
        <f t="shared" si="229"/>
        <v>71</v>
      </c>
      <c r="N27" s="86">
        <f t="shared" si="229"/>
        <v>0</v>
      </c>
      <c r="O27" s="86">
        <f t="shared" si="229"/>
        <v>109</v>
      </c>
      <c r="P27" s="86">
        <f t="shared" si="229"/>
        <v>0</v>
      </c>
      <c r="Q27" s="86">
        <f t="shared" si="229"/>
        <v>0</v>
      </c>
      <c r="R27" s="86">
        <f t="shared" si="229"/>
        <v>168042.84666666665</v>
      </c>
      <c r="S27" s="86">
        <f t="shared" si="229"/>
        <v>301271.76166666666</v>
      </c>
      <c r="T27" s="86">
        <f t="shared" si="229"/>
        <v>0</v>
      </c>
      <c r="U27" s="86">
        <f t="shared" si="229"/>
        <v>469314.60833333334</v>
      </c>
      <c r="V27" s="86">
        <f t="shared" si="229"/>
        <v>0</v>
      </c>
      <c r="W27" s="86">
        <f t="shared" si="229"/>
        <v>0</v>
      </c>
      <c r="X27" s="86">
        <f t="shared" si="229"/>
        <v>469314.60833333334</v>
      </c>
      <c r="Y27" s="86">
        <f t="shared" si="229"/>
        <v>0</v>
      </c>
      <c r="Z27" s="86">
        <f t="shared" si="229"/>
        <v>0</v>
      </c>
      <c r="AA27" s="86">
        <f t="shared" si="229"/>
        <v>0</v>
      </c>
      <c r="AB27" s="86">
        <f t="shared" si="229"/>
        <v>0</v>
      </c>
      <c r="AC27" s="86">
        <f t="shared" si="229"/>
        <v>0</v>
      </c>
      <c r="AD27" s="86">
        <f t="shared" si="229"/>
        <v>0</v>
      </c>
      <c r="AE27" s="86">
        <f t="shared" si="229"/>
        <v>0</v>
      </c>
      <c r="AF27" s="86">
        <f t="shared" si="229"/>
        <v>0</v>
      </c>
      <c r="AG27" s="86">
        <f t="shared" si="229"/>
        <v>0</v>
      </c>
      <c r="AH27" s="86">
        <f t="shared" si="229"/>
        <v>0</v>
      </c>
      <c r="AI27" s="86">
        <f t="shared" si="229"/>
        <v>0</v>
      </c>
      <c r="AJ27" s="86">
        <f t="shared" si="229"/>
        <v>0</v>
      </c>
      <c r="AK27" s="86">
        <f t="shared" si="229"/>
        <v>0</v>
      </c>
      <c r="AL27" s="86">
        <f t="shared" si="229"/>
        <v>0</v>
      </c>
      <c r="AM27" s="86">
        <f t="shared" si="229"/>
        <v>0</v>
      </c>
      <c r="AN27" s="86">
        <f t="shared" si="229"/>
        <v>0</v>
      </c>
      <c r="AO27" s="86">
        <f t="shared" si="229"/>
        <v>0</v>
      </c>
      <c r="AP27" s="86">
        <f t="shared" si="229"/>
        <v>0</v>
      </c>
      <c r="AQ27" s="86">
        <f t="shared" si="229"/>
        <v>0</v>
      </c>
      <c r="AR27" s="86">
        <f t="shared" si="229"/>
        <v>0</v>
      </c>
      <c r="AS27" s="86">
        <f t="shared" si="229"/>
        <v>0</v>
      </c>
      <c r="AT27" s="86">
        <f t="shared" si="229"/>
        <v>0</v>
      </c>
      <c r="AU27" s="86">
        <f t="shared" si="229"/>
        <v>0</v>
      </c>
      <c r="AV27" s="86">
        <f t="shared" si="229"/>
        <v>0</v>
      </c>
      <c r="AW27" s="86">
        <f t="shared" si="229"/>
        <v>0</v>
      </c>
      <c r="AX27" s="86">
        <f t="shared" si="229"/>
        <v>0</v>
      </c>
      <c r="AY27" s="86">
        <f t="shared" si="229"/>
        <v>0</v>
      </c>
      <c r="AZ27" s="86">
        <f t="shared" si="229"/>
        <v>0</v>
      </c>
      <c r="BA27" s="86">
        <f t="shared" si="229"/>
        <v>0</v>
      </c>
      <c r="BB27" s="86">
        <f t="shared" si="229"/>
        <v>0</v>
      </c>
      <c r="BC27" s="86">
        <f t="shared" si="229"/>
        <v>0</v>
      </c>
      <c r="BD27" s="86">
        <f t="shared" si="229"/>
        <v>0</v>
      </c>
      <c r="BE27" s="86">
        <f t="shared" si="229"/>
        <v>109</v>
      </c>
      <c r="BF27" s="86">
        <f t="shared" si="229"/>
        <v>140794.38250000001</v>
      </c>
      <c r="BG27" s="86">
        <f t="shared" si="229"/>
        <v>140794.38250000001</v>
      </c>
      <c r="BH27" s="86">
        <f t="shared" si="229"/>
        <v>140794.38250000001</v>
      </c>
      <c r="BI27" s="86">
        <f t="shared" si="229"/>
        <v>1689532.5899999999</v>
      </c>
    </row>
    <row r="28" spans="1:61" ht="33.75" customHeight="1">
      <c r="A28" s="4">
        <v>1</v>
      </c>
      <c r="B28" s="135" t="s">
        <v>156</v>
      </c>
      <c r="C28" s="212" t="s">
        <v>424</v>
      </c>
      <c r="D28" s="212" t="s">
        <v>152</v>
      </c>
      <c r="E28" s="130" t="s">
        <v>160</v>
      </c>
      <c r="F28" s="212">
        <v>1</v>
      </c>
      <c r="G28" s="212">
        <v>38.049999999999997</v>
      </c>
      <c r="H28" s="381">
        <v>4.3899999999999997</v>
      </c>
      <c r="I28" s="443">
        <f>ROUND((((J28+K28))/24)+(L28+M28+N28)/18,2)</f>
        <v>1.44</v>
      </c>
      <c r="J28" s="232"/>
      <c r="K28" s="221"/>
      <c r="L28" s="306">
        <v>26</v>
      </c>
      <c r="M28" s="306"/>
      <c r="N28" s="233"/>
      <c r="O28" s="372">
        <f>SUM(J28:N28)</f>
        <v>26</v>
      </c>
      <c r="P28" s="43">
        <f>SUM(($H$4*H28)/24)*J28</f>
        <v>0</v>
      </c>
      <c r="Q28" s="40">
        <f>SUM(($H$4*H28)/24)*K28</f>
        <v>0</v>
      </c>
      <c r="R28" s="42">
        <f>($H$4*H28)/18*L28</f>
        <v>112218.64333333331</v>
      </c>
      <c r="S28" s="42">
        <f>($H$4*H28)*M28/18</f>
        <v>0</v>
      </c>
      <c r="T28" s="40">
        <f>($H$4*H28)/18*N28</f>
        <v>0</v>
      </c>
      <c r="U28" s="42">
        <f>SUM(P28:T28)</f>
        <v>112218.64333333331</v>
      </c>
      <c r="V28" s="41"/>
      <c r="W28" s="40">
        <f>(U28*V28)/100</f>
        <v>0</v>
      </c>
      <c r="X28" s="42">
        <f>SUM(U28,W28)</f>
        <v>112218.64333333331</v>
      </c>
      <c r="Y28" s="264"/>
      <c r="Z28" s="42">
        <f>($H$4*0.25)*Y28/18</f>
        <v>0</v>
      </c>
      <c r="AA28" s="265"/>
      <c r="AB28" s="8">
        <f>SUM(($H$4*0.25)/18)*AA28</f>
        <v>0</v>
      </c>
      <c r="AC28" s="42"/>
      <c r="AD28" s="42">
        <f>SUM(($H$4*0.25)/18*AC28)</f>
        <v>0</v>
      </c>
      <c r="AE28" s="264"/>
      <c r="AF28" s="8">
        <f>SUM(($H$4*0.2)/18)*AE28</f>
        <v>0</v>
      </c>
      <c r="AG28" s="264"/>
      <c r="AH28" s="42">
        <f>SUM(($H$4*0.2)/18)*AG28</f>
        <v>0</v>
      </c>
      <c r="AI28" s="264"/>
      <c r="AJ28" s="8">
        <f>SUM(($H$4*0.2)/18)*AI28</f>
        <v>0</v>
      </c>
      <c r="AK28" s="266">
        <f>SUM(Y28,AA28,AC28,AE28,AG28,AI28)</f>
        <v>0</v>
      </c>
      <c r="AL28" s="8">
        <f>SUM(Z28,AB28,AD28,AF28,AH28,AJ28)</f>
        <v>0</v>
      </c>
      <c r="AM28" s="267"/>
      <c r="AN28" s="42">
        <f>SUM($H$4*0.25)*AM28</f>
        <v>0</v>
      </c>
      <c r="AO28" s="265"/>
      <c r="AP28" s="42">
        <f>SUM($H$4*0.3)*AO28</f>
        <v>0</v>
      </c>
      <c r="AQ28" s="42"/>
      <c r="AR28" s="42">
        <f>SUM($H$4*0.2*AQ28)</f>
        <v>0</v>
      </c>
      <c r="AS28" s="264"/>
      <c r="AT28" s="42">
        <f>SUM($H$4*$H28*AS28/18)</f>
        <v>0</v>
      </c>
      <c r="AU28" s="264"/>
      <c r="AV28" s="42">
        <f>SUM($H$4*$H28*AU28/18)*0.7</f>
        <v>0</v>
      </c>
      <c r="AW28" s="267"/>
      <c r="AX28" s="42">
        <f>SUM($H$4*$H28*AW28/18)*0.3</f>
        <v>0</v>
      </c>
      <c r="AY28" s="264"/>
      <c r="AZ28" s="42">
        <f>SUM(($H$4*0.25)/18)*AY28</f>
        <v>0</v>
      </c>
      <c r="BA28" s="42"/>
      <c r="BB28" s="42">
        <f>SUM($H$4*0.2)*BA28</f>
        <v>0</v>
      </c>
      <c r="BC28" s="42"/>
      <c r="BD28" s="42">
        <f>((($H$4*BC28)/100)*20)/100</f>
        <v>0</v>
      </c>
      <c r="BE28" s="40">
        <f>SUM(O28)</f>
        <v>26</v>
      </c>
      <c r="BF28" s="366">
        <f>SUM((U28/O28*BE28)*0.3)</f>
        <v>33665.592999999993</v>
      </c>
      <c r="BG28" s="8">
        <f>AL28+AN28+AP28+AT28+AV28+AX28+AZ28+BB28+BD28+BF28+AR28</f>
        <v>33665.592999999993</v>
      </c>
      <c r="BH28" s="42">
        <f>BG28</f>
        <v>33665.592999999993</v>
      </c>
      <c r="BI28" s="42">
        <f t="shared" ref="BI28" si="230">BH28*12</f>
        <v>403987.11599999992</v>
      </c>
    </row>
    <row r="29" spans="1:61" ht="18.75" customHeight="1">
      <c r="A29" s="99"/>
      <c r="B29" s="126" t="s">
        <v>159</v>
      </c>
      <c r="C29" s="341"/>
      <c r="D29" s="100"/>
      <c r="E29" s="101"/>
      <c r="F29" s="102"/>
      <c r="G29" s="103"/>
      <c r="H29" s="288"/>
      <c r="I29" s="86">
        <f>SUM(I28)</f>
        <v>1.44</v>
      </c>
      <c r="J29" s="86">
        <f t="shared" ref="J29:BH29" si="231">SUM(J28)</f>
        <v>0</v>
      </c>
      <c r="K29" s="86">
        <f t="shared" si="231"/>
        <v>0</v>
      </c>
      <c r="L29" s="86">
        <f t="shared" si="231"/>
        <v>26</v>
      </c>
      <c r="M29" s="86">
        <f t="shared" si="231"/>
        <v>0</v>
      </c>
      <c r="N29" s="86">
        <f t="shared" si="231"/>
        <v>0</v>
      </c>
      <c r="O29" s="86">
        <f t="shared" si="231"/>
        <v>26</v>
      </c>
      <c r="P29" s="86">
        <f t="shared" si="231"/>
        <v>0</v>
      </c>
      <c r="Q29" s="86">
        <f t="shared" si="231"/>
        <v>0</v>
      </c>
      <c r="R29" s="86">
        <f t="shared" si="231"/>
        <v>112218.64333333331</v>
      </c>
      <c r="S29" s="86">
        <f t="shared" si="231"/>
        <v>0</v>
      </c>
      <c r="T29" s="86">
        <f t="shared" si="231"/>
        <v>0</v>
      </c>
      <c r="U29" s="86">
        <f t="shared" si="231"/>
        <v>112218.64333333331</v>
      </c>
      <c r="V29" s="86">
        <f t="shared" si="231"/>
        <v>0</v>
      </c>
      <c r="W29" s="86">
        <f t="shared" si="231"/>
        <v>0</v>
      </c>
      <c r="X29" s="86">
        <f t="shared" si="231"/>
        <v>112218.64333333331</v>
      </c>
      <c r="Y29" s="86">
        <f t="shared" si="231"/>
        <v>0</v>
      </c>
      <c r="Z29" s="86">
        <f t="shared" si="231"/>
        <v>0</v>
      </c>
      <c r="AA29" s="86">
        <f t="shared" si="231"/>
        <v>0</v>
      </c>
      <c r="AB29" s="86">
        <f t="shared" si="231"/>
        <v>0</v>
      </c>
      <c r="AC29" s="86">
        <f t="shared" si="231"/>
        <v>0</v>
      </c>
      <c r="AD29" s="86">
        <f t="shared" si="231"/>
        <v>0</v>
      </c>
      <c r="AE29" s="86">
        <f t="shared" si="231"/>
        <v>0</v>
      </c>
      <c r="AF29" s="86">
        <f t="shared" si="231"/>
        <v>0</v>
      </c>
      <c r="AG29" s="86">
        <f t="shared" si="231"/>
        <v>0</v>
      </c>
      <c r="AH29" s="86">
        <f t="shared" si="231"/>
        <v>0</v>
      </c>
      <c r="AI29" s="86">
        <f t="shared" si="231"/>
        <v>0</v>
      </c>
      <c r="AJ29" s="86">
        <f t="shared" si="231"/>
        <v>0</v>
      </c>
      <c r="AK29" s="86">
        <f t="shared" si="231"/>
        <v>0</v>
      </c>
      <c r="AL29" s="86">
        <f t="shared" si="231"/>
        <v>0</v>
      </c>
      <c r="AM29" s="86">
        <f t="shared" si="231"/>
        <v>0</v>
      </c>
      <c r="AN29" s="86">
        <f t="shared" si="231"/>
        <v>0</v>
      </c>
      <c r="AO29" s="86">
        <f t="shared" si="231"/>
        <v>0</v>
      </c>
      <c r="AP29" s="86">
        <f t="shared" si="231"/>
        <v>0</v>
      </c>
      <c r="AQ29" s="86">
        <f t="shared" si="231"/>
        <v>0</v>
      </c>
      <c r="AR29" s="86">
        <f t="shared" si="231"/>
        <v>0</v>
      </c>
      <c r="AS29" s="86">
        <f t="shared" si="231"/>
        <v>0</v>
      </c>
      <c r="AT29" s="86">
        <f t="shared" si="231"/>
        <v>0</v>
      </c>
      <c r="AU29" s="86">
        <f t="shared" si="231"/>
        <v>0</v>
      </c>
      <c r="AV29" s="86">
        <f t="shared" si="231"/>
        <v>0</v>
      </c>
      <c r="AW29" s="86">
        <f t="shared" si="231"/>
        <v>0</v>
      </c>
      <c r="AX29" s="86">
        <f t="shared" si="231"/>
        <v>0</v>
      </c>
      <c r="AY29" s="86">
        <f t="shared" si="231"/>
        <v>0</v>
      </c>
      <c r="AZ29" s="86">
        <f t="shared" si="231"/>
        <v>0</v>
      </c>
      <c r="BA29" s="86">
        <f t="shared" si="231"/>
        <v>0</v>
      </c>
      <c r="BB29" s="86">
        <f t="shared" si="231"/>
        <v>0</v>
      </c>
      <c r="BC29" s="86">
        <f t="shared" si="231"/>
        <v>0</v>
      </c>
      <c r="BD29" s="86">
        <f t="shared" si="231"/>
        <v>0</v>
      </c>
      <c r="BE29" s="86">
        <f t="shared" si="231"/>
        <v>26</v>
      </c>
      <c r="BF29" s="86">
        <f t="shared" si="231"/>
        <v>33665.592999999993</v>
      </c>
      <c r="BG29" s="86">
        <f t="shared" si="231"/>
        <v>33665.592999999993</v>
      </c>
      <c r="BH29" s="86">
        <f t="shared" si="231"/>
        <v>33665.592999999993</v>
      </c>
      <c r="BI29" s="86">
        <f t="shared" ref="BI29" si="232">SUM(BI24:BI28)</f>
        <v>3222588.3059999999</v>
      </c>
    </row>
    <row r="30" spans="1:61" ht="31.5">
      <c r="A30" s="62">
        <v>1</v>
      </c>
      <c r="B30" s="127" t="s">
        <v>158</v>
      </c>
      <c r="C30" s="340" t="s">
        <v>288</v>
      </c>
      <c r="D30" s="212" t="s">
        <v>152</v>
      </c>
      <c r="E30" s="219" t="s">
        <v>151</v>
      </c>
      <c r="F30" s="212">
        <v>2</v>
      </c>
      <c r="G30" s="212">
        <v>22.03</v>
      </c>
      <c r="H30" s="380">
        <v>4.22</v>
      </c>
      <c r="I30" s="187">
        <f>ROUND((((J30+K30))/24)+(L30+M30+N30)/18,2)</f>
        <v>1</v>
      </c>
      <c r="J30" s="232"/>
      <c r="K30" s="232"/>
      <c r="L30" s="306">
        <v>18</v>
      </c>
      <c r="M30" s="131"/>
      <c r="N30" s="131"/>
      <c r="O30" s="374">
        <f t="shared" ref="O30" si="233">SUM(J30:N30)</f>
        <v>18</v>
      </c>
      <c r="P30" s="43">
        <f t="shared" ref="P30" si="234">SUM(($H$4*H30)/24)*J30</f>
        <v>0</v>
      </c>
      <c r="Q30" s="40">
        <f t="shared" ref="Q30" si="235">SUM(($H$4*H30)/24)*K30</f>
        <v>0</v>
      </c>
      <c r="R30" s="42">
        <f t="shared" ref="R30" si="236">($H$4*H30)/18*L30</f>
        <v>74681.34</v>
      </c>
      <c r="S30" s="40">
        <f t="shared" ref="S30" si="237">($H$4*H30)*M30/18</f>
        <v>0</v>
      </c>
      <c r="T30" s="40">
        <f t="shared" ref="T30" si="238">($H$4*H30)/18*N30</f>
        <v>0</v>
      </c>
      <c r="U30" s="42">
        <f t="shared" ref="U30" si="239">SUM(P30:T30)</f>
        <v>74681.34</v>
      </c>
      <c r="V30" s="41"/>
      <c r="W30" s="40">
        <f t="shared" ref="W30" si="240">(U30*V30)/100</f>
        <v>0</v>
      </c>
      <c r="X30" s="42">
        <f t="shared" ref="X30" si="241">SUM(U30,W30)</f>
        <v>74681.34</v>
      </c>
      <c r="Y30" s="264"/>
      <c r="Z30" s="42">
        <f t="shared" ref="Z30" si="242">($H$4*0.25)*Y30/18</f>
        <v>0</v>
      </c>
      <c r="AA30" s="265"/>
      <c r="AB30" s="8">
        <f t="shared" ref="AB30" si="243">SUM(($H$4*0.25)/18)*AA30</f>
        <v>0</v>
      </c>
      <c r="AC30" s="42"/>
      <c r="AD30" s="42">
        <f t="shared" ref="AD30" si="244">SUM(($H$4*0.25)/18*AC30)</f>
        <v>0</v>
      </c>
      <c r="AE30" s="264"/>
      <c r="AF30" s="8">
        <f t="shared" ref="AF30" si="245">SUM(($H$4*0.2)/18)*AE30</f>
        <v>0</v>
      </c>
      <c r="AG30" s="264"/>
      <c r="AH30" s="42">
        <f t="shared" ref="AH30" si="246">SUM(($H$4*0.2)/18)*AG30</f>
        <v>0</v>
      </c>
      <c r="AI30" s="264"/>
      <c r="AJ30" s="8">
        <f t="shared" ref="AJ30" si="247">SUM(($H$4*0.2)/18)*AI30</f>
        <v>0</v>
      </c>
      <c r="AK30" s="266">
        <f t="shared" ref="AK30" si="248">SUM(Y30,AA30,AC30,AE30,AG30,AI30)</f>
        <v>0</v>
      </c>
      <c r="AL30" s="8">
        <f t="shared" ref="AL30" si="249">SUM(Z30,AB30,AD30,AF30,AH30,AJ30)</f>
        <v>0</v>
      </c>
      <c r="AM30" s="267"/>
      <c r="AN30" s="42">
        <f t="shared" ref="AN30" si="250">SUM($H$4*0.25)*AM30</f>
        <v>0</v>
      </c>
      <c r="AO30" s="265"/>
      <c r="AP30" s="42">
        <f t="shared" ref="AP30" si="251">SUM($H$4*0.3)*AO30</f>
        <v>0</v>
      </c>
      <c r="AQ30" s="42"/>
      <c r="AR30" s="42">
        <f t="shared" ref="AR30" si="252">SUM($H$4*0.2*AQ30)</f>
        <v>0</v>
      </c>
      <c r="AS30" s="264"/>
      <c r="AT30" s="42">
        <f t="shared" si="128"/>
        <v>0</v>
      </c>
      <c r="AU30" s="264"/>
      <c r="AV30" s="42">
        <f t="shared" si="129"/>
        <v>0</v>
      </c>
      <c r="AW30" s="267"/>
      <c r="AX30" s="42">
        <f t="shared" si="130"/>
        <v>0</v>
      </c>
      <c r="AY30" s="264"/>
      <c r="AZ30" s="42">
        <f t="shared" ref="AZ30" si="253">SUM(($H$4*0.25)/18)*AY30</f>
        <v>0</v>
      </c>
      <c r="BA30" s="42"/>
      <c r="BB30" s="42">
        <f t="shared" ref="BB30" si="254">SUM($H$4*0.2)*BA30</f>
        <v>0</v>
      </c>
      <c r="BC30" s="42"/>
      <c r="BD30" s="42">
        <f t="shared" ref="BD30" si="255">((($H$4*BC30)/100)*20)/100</f>
        <v>0</v>
      </c>
      <c r="BE30" s="40">
        <f t="shared" ref="BE30" si="256">SUM(O30)</f>
        <v>18</v>
      </c>
      <c r="BF30" s="366">
        <f t="shared" ref="BF30" si="257">SUM((U30/O30*BE30)*0.3)</f>
        <v>22404.401999999998</v>
      </c>
      <c r="BG30" s="8">
        <f t="shared" ref="BG30" si="258">AL30+AN30+AP30+AT30+AV30+AX30+AZ30+BB30+BD30+BF30+AR30</f>
        <v>22404.401999999998</v>
      </c>
      <c r="BH30" s="42">
        <f t="shared" ref="BH30" si="259">BG30</f>
        <v>22404.401999999998</v>
      </c>
      <c r="BI30" s="42">
        <f>BH30*12</f>
        <v>268852.82399999996</v>
      </c>
    </row>
    <row r="31" spans="1:61" ht="18.75" customHeight="1">
      <c r="A31" s="99"/>
      <c r="B31" s="126" t="s">
        <v>290</v>
      </c>
      <c r="C31" s="341"/>
      <c r="D31" s="100"/>
      <c r="E31" s="101"/>
      <c r="F31" s="102"/>
      <c r="G31" s="103"/>
      <c r="H31" s="288"/>
      <c r="I31" s="86">
        <f>SUM(I30)</f>
        <v>1</v>
      </c>
      <c r="J31" s="86">
        <f t="shared" ref="J31:BH31" si="260">SUM(J30)</f>
        <v>0</v>
      </c>
      <c r="K31" s="86">
        <f t="shared" si="260"/>
        <v>0</v>
      </c>
      <c r="L31" s="86">
        <f t="shared" si="260"/>
        <v>18</v>
      </c>
      <c r="M31" s="86">
        <f t="shared" si="260"/>
        <v>0</v>
      </c>
      <c r="N31" s="86">
        <f t="shared" si="260"/>
        <v>0</v>
      </c>
      <c r="O31" s="86">
        <f t="shared" si="260"/>
        <v>18</v>
      </c>
      <c r="P31" s="86">
        <f t="shared" si="260"/>
        <v>0</v>
      </c>
      <c r="Q31" s="86">
        <f t="shared" si="260"/>
        <v>0</v>
      </c>
      <c r="R31" s="86">
        <f t="shared" si="260"/>
        <v>74681.34</v>
      </c>
      <c r="S31" s="86">
        <f t="shared" si="260"/>
        <v>0</v>
      </c>
      <c r="T31" s="86">
        <f t="shared" si="260"/>
        <v>0</v>
      </c>
      <c r="U31" s="86">
        <f t="shared" si="260"/>
        <v>74681.34</v>
      </c>
      <c r="V31" s="86">
        <f t="shared" si="260"/>
        <v>0</v>
      </c>
      <c r="W31" s="86">
        <f t="shared" si="260"/>
        <v>0</v>
      </c>
      <c r="X31" s="86">
        <f t="shared" si="260"/>
        <v>74681.34</v>
      </c>
      <c r="Y31" s="86">
        <f t="shared" si="260"/>
        <v>0</v>
      </c>
      <c r="Z31" s="86">
        <f t="shared" si="260"/>
        <v>0</v>
      </c>
      <c r="AA31" s="86">
        <f t="shared" si="260"/>
        <v>0</v>
      </c>
      <c r="AB31" s="86">
        <f t="shared" si="260"/>
        <v>0</v>
      </c>
      <c r="AC31" s="86">
        <f t="shared" si="260"/>
        <v>0</v>
      </c>
      <c r="AD31" s="86">
        <f t="shared" si="260"/>
        <v>0</v>
      </c>
      <c r="AE31" s="86">
        <f t="shared" si="260"/>
        <v>0</v>
      </c>
      <c r="AF31" s="86">
        <f t="shared" si="260"/>
        <v>0</v>
      </c>
      <c r="AG31" s="86">
        <f t="shared" si="260"/>
        <v>0</v>
      </c>
      <c r="AH31" s="86">
        <f t="shared" si="260"/>
        <v>0</v>
      </c>
      <c r="AI31" s="86">
        <f t="shared" si="260"/>
        <v>0</v>
      </c>
      <c r="AJ31" s="86">
        <f t="shared" si="260"/>
        <v>0</v>
      </c>
      <c r="AK31" s="86">
        <f t="shared" si="260"/>
        <v>0</v>
      </c>
      <c r="AL31" s="86">
        <f t="shared" si="260"/>
        <v>0</v>
      </c>
      <c r="AM31" s="86">
        <f t="shared" si="260"/>
        <v>0</v>
      </c>
      <c r="AN31" s="86">
        <f t="shared" si="260"/>
        <v>0</v>
      </c>
      <c r="AO31" s="86">
        <f t="shared" si="260"/>
        <v>0</v>
      </c>
      <c r="AP31" s="86">
        <f t="shared" si="260"/>
        <v>0</v>
      </c>
      <c r="AQ31" s="86">
        <f t="shared" si="260"/>
        <v>0</v>
      </c>
      <c r="AR31" s="86">
        <f t="shared" si="260"/>
        <v>0</v>
      </c>
      <c r="AS31" s="86">
        <f t="shared" si="260"/>
        <v>0</v>
      </c>
      <c r="AT31" s="86">
        <f t="shared" si="260"/>
        <v>0</v>
      </c>
      <c r="AU31" s="86">
        <f t="shared" si="260"/>
        <v>0</v>
      </c>
      <c r="AV31" s="86">
        <f t="shared" si="260"/>
        <v>0</v>
      </c>
      <c r="AW31" s="86">
        <f t="shared" si="260"/>
        <v>0</v>
      </c>
      <c r="AX31" s="86">
        <f t="shared" si="260"/>
        <v>0</v>
      </c>
      <c r="AY31" s="86">
        <f t="shared" si="260"/>
        <v>0</v>
      </c>
      <c r="AZ31" s="86">
        <f t="shared" si="260"/>
        <v>0</v>
      </c>
      <c r="BA31" s="86">
        <f t="shared" si="260"/>
        <v>0</v>
      </c>
      <c r="BB31" s="86">
        <f t="shared" si="260"/>
        <v>0</v>
      </c>
      <c r="BC31" s="86">
        <f t="shared" si="260"/>
        <v>0</v>
      </c>
      <c r="BD31" s="86">
        <f t="shared" si="260"/>
        <v>0</v>
      </c>
      <c r="BE31" s="86">
        <f t="shared" si="260"/>
        <v>18</v>
      </c>
      <c r="BF31" s="86">
        <f t="shared" si="260"/>
        <v>22404.401999999998</v>
      </c>
      <c r="BG31" s="86">
        <f t="shared" si="260"/>
        <v>22404.401999999998</v>
      </c>
      <c r="BH31" s="86">
        <f t="shared" si="260"/>
        <v>22404.401999999998</v>
      </c>
      <c r="BI31" s="266">
        <f t="shared" ref="BI31" si="261">SUM(BI30)</f>
        <v>268852.82399999996</v>
      </c>
    </row>
    <row r="32" spans="1:61" ht="36.75" customHeight="1">
      <c r="A32" s="413">
        <v>1</v>
      </c>
      <c r="B32" s="133" t="s">
        <v>353</v>
      </c>
      <c r="C32" s="338" t="s">
        <v>354</v>
      </c>
      <c r="D32" s="100" t="s">
        <v>343</v>
      </c>
      <c r="E32" s="101" t="s">
        <v>154</v>
      </c>
      <c r="F32" s="102" t="s">
        <v>150</v>
      </c>
      <c r="G32" s="212">
        <v>5.01</v>
      </c>
      <c r="H32" s="381">
        <v>3.49</v>
      </c>
      <c r="I32" s="187">
        <f>ROUND((((J32+K32))/24)+(L32+M32+N32)/18,2)</f>
        <v>1.17</v>
      </c>
      <c r="J32" s="86"/>
      <c r="K32" s="86"/>
      <c r="L32" s="416">
        <v>21</v>
      </c>
      <c r="M32" s="86"/>
      <c r="N32" s="86"/>
      <c r="O32" s="374">
        <f t="shared" ref="O32:O33" si="262">SUM(J32:N32)</f>
        <v>21</v>
      </c>
      <c r="P32" s="43">
        <f t="shared" ref="P32" si="263">SUM(($H$4*H32)/24)*J32</f>
        <v>0</v>
      </c>
      <c r="Q32" s="40">
        <f t="shared" ref="Q32" si="264">SUM(($H$4*H32)/24)*K32</f>
        <v>0</v>
      </c>
      <c r="R32" s="42">
        <f t="shared" ref="R32" si="265">($H$4*H32)/18*L32</f>
        <v>72056.285000000003</v>
      </c>
      <c r="S32" s="40">
        <f t="shared" ref="S32" si="266">($H$4*H32)*M32/18</f>
        <v>0</v>
      </c>
      <c r="T32" s="40">
        <f t="shared" ref="T32" si="267">($H$4*H32)/18*N32</f>
        <v>0</v>
      </c>
      <c r="U32" s="42">
        <f t="shared" ref="U32" si="268">SUM(P32:T32)</f>
        <v>72056.285000000003</v>
      </c>
      <c r="V32" s="41"/>
      <c r="W32" s="40">
        <f t="shared" ref="W32" si="269">(U32*V32)/100</f>
        <v>0</v>
      </c>
      <c r="X32" s="42">
        <f t="shared" ref="X32" si="270">SUM(U32,W32)</f>
        <v>72056.285000000003</v>
      </c>
      <c r="Y32" s="264"/>
      <c r="Z32" s="42">
        <f t="shared" ref="Z32" si="271">($H$4*0.25)*Y32/18</f>
        <v>0</v>
      </c>
      <c r="AA32" s="265"/>
      <c r="AB32" s="8">
        <f t="shared" ref="AB32" si="272">SUM(($H$4*0.25)/18)*AA32</f>
        <v>0</v>
      </c>
      <c r="AC32" s="42"/>
      <c r="AD32" s="42">
        <f t="shared" ref="AD32" si="273">SUM(($H$4*0.25)/18*AC32)</f>
        <v>0</v>
      </c>
      <c r="AE32" s="264"/>
      <c r="AF32" s="8">
        <f t="shared" ref="AF32" si="274">SUM(($H$4*0.2)/18)*AE32</f>
        <v>0</v>
      </c>
      <c r="AG32" s="264"/>
      <c r="AH32" s="42">
        <f t="shared" ref="AH32" si="275">SUM(($H$4*0.2)/18)*AG32</f>
        <v>0</v>
      </c>
      <c r="AI32" s="264"/>
      <c r="AJ32" s="8">
        <f t="shared" ref="AJ32" si="276">SUM(($H$4*0.2)/18)*AI32</f>
        <v>0</v>
      </c>
      <c r="AK32" s="266">
        <f t="shared" ref="AK32" si="277">SUM(Y32,AA32,AC32,AE32,AG32,AI32)</f>
        <v>0</v>
      </c>
      <c r="AL32" s="8">
        <f t="shared" ref="AL32" si="278">SUM(Z32,AB32,AD32,AF32,AH32,AJ32)</f>
        <v>0</v>
      </c>
      <c r="AM32" s="267"/>
      <c r="AN32" s="42">
        <f t="shared" ref="AN32" si="279">SUM($H$4*0.25)*AM32</f>
        <v>0</v>
      </c>
      <c r="AO32" s="265"/>
      <c r="AP32" s="42">
        <f t="shared" ref="AP32" si="280">SUM($H$4*0.3)*AO32</f>
        <v>0</v>
      </c>
      <c r="AQ32" s="42"/>
      <c r="AR32" s="42">
        <f t="shared" ref="AR32" si="281">SUM($H$4*0.2*AQ32)</f>
        <v>0</v>
      </c>
      <c r="AS32" s="264"/>
      <c r="AT32" s="42">
        <f t="shared" ref="AT32" si="282">SUM($H$4*$H32*AS32/18)</f>
        <v>0</v>
      </c>
      <c r="AU32" s="264"/>
      <c r="AV32" s="42">
        <f t="shared" ref="AV32" si="283">SUM($H$4*$H32*AU32/18)*0.7</f>
        <v>0</v>
      </c>
      <c r="AW32" s="267"/>
      <c r="AX32" s="42">
        <f t="shared" ref="AX32" si="284">SUM($H$4*$H32*AW32/18)*0.3</f>
        <v>0</v>
      </c>
      <c r="AY32" s="264"/>
      <c r="AZ32" s="42">
        <f t="shared" ref="AZ32" si="285">SUM(($H$4*0.25)/18)*AY32</f>
        <v>0</v>
      </c>
      <c r="BA32" s="42"/>
      <c r="BB32" s="42">
        <f t="shared" ref="BB32" si="286">SUM($H$4*0.2)*BA32</f>
        <v>0</v>
      </c>
      <c r="BC32" s="42"/>
      <c r="BD32" s="42">
        <f t="shared" ref="BD32" si="287">((($H$4*BC32)/100)*20)/100</f>
        <v>0</v>
      </c>
      <c r="BE32" s="40">
        <f t="shared" ref="BE32" si="288">SUM(O32)</f>
        <v>21</v>
      </c>
      <c r="BF32" s="366">
        <f t="shared" ref="BF32" si="289">SUM((U32/O32*BE32)*0.3)</f>
        <v>21616.8855</v>
      </c>
      <c r="BG32" s="8">
        <f t="shared" ref="BG32" si="290">AL32+AN32+AP32+AT32+AV32+AX32+AZ32+BB32+BD32+BF32+AR32</f>
        <v>21616.8855</v>
      </c>
      <c r="BH32" s="42">
        <f t="shared" ref="BH32" si="291">BG32</f>
        <v>21616.8855</v>
      </c>
      <c r="BI32" s="42">
        <f t="shared" ref="BI32:BI33" si="292">BH32*12</f>
        <v>259402.62599999999</v>
      </c>
    </row>
    <row r="33" spans="1:62" ht="31.5">
      <c r="A33" s="129">
        <v>2</v>
      </c>
      <c r="B33" s="290" t="s">
        <v>429</v>
      </c>
      <c r="C33" s="278" t="s">
        <v>430</v>
      </c>
      <c r="D33" s="278" t="s">
        <v>343</v>
      </c>
      <c r="E33" s="289" t="s">
        <v>154</v>
      </c>
      <c r="F33" s="278" t="s">
        <v>150</v>
      </c>
      <c r="G33" s="278">
        <v>4.09</v>
      </c>
      <c r="H33" s="380">
        <v>3.45</v>
      </c>
      <c r="I33" s="213">
        <f t="shared" ref="I33" si="293">ROUND((((J33+K33))/24)+(L33+M33+N33)/18,2)</f>
        <v>1.06</v>
      </c>
      <c r="J33" s="232"/>
      <c r="K33" s="236"/>
      <c r="L33" s="306">
        <v>19</v>
      </c>
      <c r="M33" s="306"/>
      <c r="N33" s="229"/>
      <c r="O33" s="314">
        <f t="shared" si="262"/>
        <v>19</v>
      </c>
      <c r="P33" s="43">
        <f>SUM(($H$4*H33)/24)*J33</f>
        <v>0</v>
      </c>
      <c r="Q33" s="40">
        <f>SUM(($H$4*H33)/24)*K33</f>
        <v>0</v>
      </c>
      <c r="R33" s="42">
        <f>($H$4*H33)/18*L33</f>
        <v>64446.575000000004</v>
      </c>
      <c r="S33" s="42">
        <f>($H$4*H33)*M33/18</f>
        <v>0</v>
      </c>
      <c r="T33" s="40">
        <f>($H$4*H33)/18*N33</f>
        <v>0</v>
      </c>
      <c r="U33" s="42">
        <f>SUM(P33:T33)</f>
        <v>64446.575000000004</v>
      </c>
      <c r="V33" s="41"/>
      <c r="W33" s="40">
        <f>(U33*V33)/100</f>
        <v>0</v>
      </c>
      <c r="X33" s="42">
        <f>SUM(U33,W33)</f>
        <v>64446.575000000004</v>
      </c>
      <c r="Y33" s="264"/>
      <c r="Z33" s="42">
        <f>($H$4*0.25)*Y33/18</f>
        <v>0</v>
      </c>
      <c r="AA33" s="265"/>
      <c r="AB33" s="8">
        <f>SUM(($H$4*0.25)/18)*AA33</f>
        <v>0</v>
      </c>
      <c r="AC33" s="42"/>
      <c r="AD33" s="42">
        <f>SUM(($H$4*0.25)/18*AC33)</f>
        <v>0</v>
      </c>
      <c r="AE33" s="264"/>
      <c r="AF33" s="8">
        <f>SUM(($H$4*0.2)/18)*AE33</f>
        <v>0</v>
      </c>
      <c r="AG33" s="264"/>
      <c r="AH33" s="42">
        <f>SUM(($H$4*0.2)/18)*AG33</f>
        <v>0</v>
      </c>
      <c r="AI33" s="264"/>
      <c r="AJ33" s="8">
        <f>SUM(($H$4*0.2)/18)*AI33</f>
        <v>0</v>
      </c>
      <c r="AK33" s="266">
        <f>SUM(Y33,AA33,AC33,AE33,AG33,AI33)</f>
        <v>0</v>
      </c>
      <c r="AL33" s="8">
        <f>SUM(Z33,AB33,AD33,AF33,AH33,AJ33)</f>
        <v>0</v>
      </c>
      <c r="AM33" s="267"/>
      <c r="AN33" s="42">
        <f>SUM($H$4*0.25)*AM33</f>
        <v>0</v>
      </c>
      <c r="AO33" s="265"/>
      <c r="AP33" s="42">
        <f>SUM($H$4*0.3)*AO33</f>
        <v>0</v>
      </c>
      <c r="AQ33" s="42"/>
      <c r="AR33" s="42">
        <f>SUM($H$4*0.2*AQ33)</f>
        <v>0</v>
      </c>
      <c r="AS33" s="264"/>
      <c r="AT33" s="42">
        <f>SUM($H$4*$H33*AS33/18)</f>
        <v>0</v>
      </c>
      <c r="AU33" s="264"/>
      <c r="AV33" s="42">
        <f>SUM($H$4*$H33*AU33/18)*0.7</f>
        <v>0</v>
      </c>
      <c r="AW33" s="267"/>
      <c r="AX33" s="42">
        <f>SUM($H$4*$H33*AW33/18)*0.3</f>
        <v>0</v>
      </c>
      <c r="AY33" s="264"/>
      <c r="AZ33" s="42">
        <f>SUM(($H$4*0.25)/18)*AY33</f>
        <v>0</v>
      </c>
      <c r="BA33" s="42"/>
      <c r="BB33" s="42">
        <f>SUM($H$4*0.2)*BA33</f>
        <v>0</v>
      </c>
      <c r="BC33" s="42"/>
      <c r="BD33" s="42">
        <f>((($H$4*BC33)/100)*20)/100</f>
        <v>0</v>
      </c>
      <c r="BE33" s="40">
        <f>SUM(O33)</f>
        <v>19</v>
      </c>
      <c r="BF33" s="366">
        <f>SUM((U33/O33*BE33)*0.3)</f>
        <v>19333.9725</v>
      </c>
      <c r="BG33" s="8">
        <f>AL33+AN33+AP33+AT33+AV33+AX33+AZ33+BB33+BD33+BF33+AR33</f>
        <v>19333.9725</v>
      </c>
      <c r="BH33" s="42">
        <f>BG33</f>
        <v>19333.9725</v>
      </c>
      <c r="BI33" s="42">
        <f t="shared" si="292"/>
        <v>232007.66999999998</v>
      </c>
    </row>
    <row r="34" spans="1:62" ht="18.75" customHeight="1">
      <c r="A34" s="99"/>
      <c r="B34" s="126" t="s">
        <v>102</v>
      </c>
      <c r="C34" s="341"/>
      <c r="D34" s="100"/>
      <c r="E34" s="101"/>
      <c r="F34" s="102"/>
      <c r="G34" s="103"/>
      <c r="H34" s="288"/>
      <c r="I34" s="86">
        <f>SUM(I32:I33)</f>
        <v>2.23</v>
      </c>
      <c r="J34" s="86">
        <f t="shared" ref="J34:BI34" si="294">SUM(J32:J33)</f>
        <v>0</v>
      </c>
      <c r="K34" s="86">
        <f t="shared" si="294"/>
        <v>0</v>
      </c>
      <c r="L34" s="86">
        <f t="shared" si="294"/>
        <v>40</v>
      </c>
      <c r="M34" s="86">
        <f t="shared" si="294"/>
        <v>0</v>
      </c>
      <c r="N34" s="86">
        <f t="shared" si="294"/>
        <v>0</v>
      </c>
      <c r="O34" s="86">
        <f t="shared" si="294"/>
        <v>40</v>
      </c>
      <c r="P34" s="86">
        <f t="shared" si="294"/>
        <v>0</v>
      </c>
      <c r="Q34" s="86">
        <f t="shared" si="294"/>
        <v>0</v>
      </c>
      <c r="R34" s="86">
        <f t="shared" si="294"/>
        <v>136502.86000000002</v>
      </c>
      <c r="S34" s="86">
        <f t="shared" si="294"/>
        <v>0</v>
      </c>
      <c r="T34" s="86">
        <f t="shared" si="294"/>
        <v>0</v>
      </c>
      <c r="U34" s="86">
        <f t="shared" si="294"/>
        <v>136502.86000000002</v>
      </c>
      <c r="V34" s="86">
        <f t="shared" si="294"/>
        <v>0</v>
      </c>
      <c r="W34" s="86">
        <f t="shared" si="294"/>
        <v>0</v>
      </c>
      <c r="X34" s="86">
        <f t="shared" si="294"/>
        <v>136502.86000000002</v>
      </c>
      <c r="Y34" s="86">
        <f t="shared" si="294"/>
        <v>0</v>
      </c>
      <c r="Z34" s="86">
        <f t="shared" si="294"/>
        <v>0</v>
      </c>
      <c r="AA34" s="86">
        <f t="shared" si="294"/>
        <v>0</v>
      </c>
      <c r="AB34" s="86">
        <f t="shared" si="294"/>
        <v>0</v>
      </c>
      <c r="AC34" s="86">
        <f t="shared" si="294"/>
        <v>0</v>
      </c>
      <c r="AD34" s="86">
        <f t="shared" si="294"/>
        <v>0</v>
      </c>
      <c r="AE34" s="86">
        <f t="shared" si="294"/>
        <v>0</v>
      </c>
      <c r="AF34" s="86">
        <f t="shared" si="294"/>
        <v>0</v>
      </c>
      <c r="AG34" s="86">
        <f t="shared" si="294"/>
        <v>0</v>
      </c>
      <c r="AH34" s="86">
        <f t="shared" si="294"/>
        <v>0</v>
      </c>
      <c r="AI34" s="86">
        <f t="shared" si="294"/>
        <v>0</v>
      </c>
      <c r="AJ34" s="86">
        <f t="shared" si="294"/>
        <v>0</v>
      </c>
      <c r="AK34" s="86">
        <f t="shared" si="294"/>
        <v>0</v>
      </c>
      <c r="AL34" s="86">
        <f t="shared" si="294"/>
        <v>0</v>
      </c>
      <c r="AM34" s="86">
        <f t="shared" si="294"/>
        <v>0</v>
      </c>
      <c r="AN34" s="86">
        <f t="shared" si="294"/>
        <v>0</v>
      </c>
      <c r="AO34" s="86">
        <f t="shared" si="294"/>
        <v>0</v>
      </c>
      <c r="AP34" s="86">
        <f t="shared" si="294"/>
        <v>0</v>
      </c>
      <c r="AQ34" s="86">
        <f t="shared" si="294"/>
        <v>0</v>
      </c>
      <c r="AR34" s="86">
        <f t="shared" si="294"/>
        <v>0</v>
      </c>
      <c r="AS34" s="86">
        <f t="shared" si="294"/>
        <v>0</v>
      </c>
      <c r="AT34" s="86">
        <f t="shared" si="294"/>
        <v>0</v>
      </c>
      <c r="AU34" s="86">
        <f t="shared" si="294"/>
        <v>0</v>
      </c>
      <c r="AV34" s="86">
        <f t="shared" si="294"/>
        <v>0</v>
      </c>
      <c r="AW34" s="86">
        <f t="shared" si="294"/>
        <v>0</v>
      </c>
      <c r="AX34" s="86">
        <f t="shared" si="294"/>
        <v>0</v>
      </c>
      <c r="AY34" s="86">
        <f t="shared" si="294"/>
        <v>0</v>
      </c>
      <c r="AZ34" s="86">
        <f t="shared" si="294"/>
        <v>0</v>
      </c>
      <c r="BA34" s="86">
        <f t="shared" si="294"/>
        <v>0</v>
      </c>
      <c r="BB34" s="86">
        <f t="shared" si="294"/>
        <v>0</v>
      </c>
      <c r="BC34" s="86">
        <f t="shared" si="294"/>
        <v>0</v>
      </c>
      <c r="BD34" s="86">
        <f t="shared" si="294"/>
        <v>0</v>
      </c>
      <c r="BE34" s="86">
        <f t="shared" si="294"/>
        <v>40</v>
      </c>
      <c r="BF34" s="86">
        <f t="shared" si="294"/>
        <v>40950.858</v>
      </c>
      <c r="BG34" s="86">
        <f t="shared" si="294"/>
        <v>40950.858</v>
      </c>
      <c r="BH34" s="86">
        <f t="shared" si="294"/>
        <v>40950.858</v>
      </c>
      <c r="BI34" s="86">
        <f t="shared" si="294"/>
        <v>491410.29599999997</v>
      </c>
    </row>
    <row r="35" spans="1:62" ht="20.100000000000001" customHeight="1">
      <c r="A35" s="63"/>
      <c r="B35" s="125" t="s">
        <v>103</v>
      </c>
      <c r="C35" s="343"/>
      <c r="D35" s="73"/>
      <c r="E35" s="73"/>
      <c r="F35" s="74"/>
      <c r="G35" s="73"/>
      <c r="H35" s="288"/>
      <c r="I35" s="268">
        <f>SUM(I10+I17+I21+I27+I31+I34)</f>
        <v>19.510000000000002</v>
      </c>
      <c r="J35" s="268">
        <f t="shared" ref="J35:BI35" si="295">SUM(J10+J17+J21+J27+J31+J34)</f>
        <v>0</v>
      </c>
      <c r="K35" s="268">
        <f t="shared" si="295"/>
        <v>0</v>
      </c>
      <c r="L35" s="268">
        <f t="shared" si="295"/>
        <v>167</v>
      </c>
      <c r="M35" s="268">
        <f t="shared" si="295"/>
        <v>184</v>
      </c>
      <c r="N35" s="268">
        <f t="shared" si="295"/>
        <v>0</v>
      </c>
      <c r="O35" s="268">
        <f t="shared" si="295"/>
        <v>351</v>
      </c>
      <c r="P35" s="268">
        <f t="shared" si="295"/>
        <v>0</v>
      </c>
      <c r="Q35" s="268">
        <f t="shared" si="295"/>
        <v>0</v>
      </c>
      <c r="R35" s="268">
        <f t="shared" si="295"/>
        <v>738436.82</v>
      </c>
      <c r="S35" s="268">
        <f t="shared" si="295"/>
        <v>873661.56333333347</v>
      </c>
      <c r="T35" s="268">
        <f t="shared" si="295"/>
        <v>0</v>
      </c>
      <c r="U35" s="268">
        <f t="shared" si="295"/>
        <v>1612098.3833333335</v>
      </c>
      <c r="V35" s="268">
        <f t="shared" si="295"/>
        <v>0</v>
      </c>
      <c r="W35" s="268">
        <f t="shared" si="295"/>
        <v>0</v>
      </c>
      <c r="X35" s="268">
        <f t="shared" si="295"/>
        <v>1612098.3833333335</v>
      </c>
      <c r="Y35" s="268">
        <f t="shared" si="295"/>
        <v>0</v>
      </c>
      <c r="Z35" s="268">
        <f t="shared" si="295"/>
        <v>0</v>
      </c>
      <c r="AA35" s="268">
        <f t="shared" si="295"/>
        <v>0</v>
      </c>
      <c r="AB35" s="268">
        <f t="shared" si="295"/>
        <v>0</v>
      </c>
      <c r="AC35" s="268">
        <f t="shared" si="295"/>
        <v>0</v>
      </c>
      <c r="AD35" s="268">
        <f t="shared" si="295"/>
        <v>0</v>
      </c>
      <c r="AE35" s="268">
        <f t="shared" si="295"/>
        <v>0</v>
      </c>
      <c r="AF35" s="268">
        <f t="shared" si="295"/>
        <v>0</v>
      </c>
      <c r="AG35" s="268">
        <f t="shared" si="295"/>
        <v>0</v>
      </c>
      <c r="AH35" s="268">
        <f t="shared" si="295"/>
        <v>0</v>
      </c>
      <c r="AI35" s="268">
        <f t="shared" si="295"/>
        <v>0</v>
      </c>
      <c r="AJ35" s="268">
        <f t="shared" si="295"/>
        <v>0</v>
      </c>
      <c r="AK35" s="268">
        <f t="shared" si="295"/>
        <v>0</v>
      </c>
      <c r="AL35" s="268">
        <f t="shared" si="295"/>
        <v>0</v>
      </c>
      <c r="AM35" s="268">
        <f t="shared" si="295"/>
        <v>0</v>
      </c>
      <c r="AN35" s="268">
        <f t="shared" si="295"/>
        <v>0</v>
      </c>
      <c r="AO35" s="268">
        <f t="shared" si="295"/>
        <v>0</v>
      </c>
      <c r="AP35" s="268">
        <f t="shared" si="295"/>
        <v>0</v>
      </c>
      <c r="AQ35" s="268">
        <f t="shared" si="295"/>
        <v>0</v>
      </c>
      <c r="AR35" s="268">
        <f t="shared" si="295"/>
        <v>0</v>
      </c>
      <c r="AS35" s="268">
        <f t="shared" si="295"/>
        <v>0</v>
      </c>
      <c r="AT35" s="268">
        <f t="shared" si="295"/>
        <v>0</v>
      </c>
      <c r="AU35" s="268">
        <f t="shared" si="295"/>
        <v>0</v>
      </c>
      <c r="AV35" s="268">
        <f t="shared" si="295"/>
        <v>0</v>
      </c>
      <c r="AW35" s="268">
        <f t="shared" si="295"/>
        <v>0</v>
      </c>
      <c r="AX35" s="268">
        <f t="shared" si="295"/>
        <v>0</v>
      </c>
      <c r="AY35" s="268">
        <f t="shared" si="295"/>
        <v>0</v>
      </c>
      <c r="AZ35" s="268">
        <f t="shared" si="295"/>
        <v>0</v>
      </c>
      <c r="BA35" s="268">
        <f t="shared" si="295"/>
        <v>0</v>
      </c>
      <c r="BB35" s="268">
        <f t="shared" si="295"/>
        <v>0</v>
      </c>
      <c r="BC35" s="268">
        <f t="shared" si="295"/>
        <v>0</v>
      </c>
      <c r="BD35" s="268">
        <f t="shared" si="295"/>
        <v>0</v>
      </c>
      <c r="BE35" s="268">
        <f t="shared" si="295"/>
        <v>351</v>
      </c>
      <c r="BF35" s="268">
        <f t="shared" si="295"/>
        <v>483629.51500000007</v>
      </c>
      <c r="BG35" s="268">
        <f t="shared" si="295"/>
        <v>483629.51500000007</v>
      </c>
      <c r="BH35" s="268">
        <f t="shared" si="295"/>
        <v>483629.51500000007</v>
      </c>
      <c r="BI35" s="268">
        <f t="shared" si="295"/>
        <v>5803554.1799999997</v>
      </c>
      <c r="BJ35" s="268">
        <f t="shared" ref="BJ35" si="296">SUM(BJ10+BJ17+BJ21+BJ27+BJ31+BJ34)</f>
        <v>0</v>
      </c>
    </row>
    <row r="36" spans="1:62">
      <c r="A36" s="11"/>
      <c r="B36" s="124"/>
      <c r="C36" s="332"/>
      <c r="D36" s="13"/>
      <c r="E36" s="13"/>
      <c r="F36" s="76"/>
      <c r="G36" s="13"/>
      <c r="H36" s="33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</row>
    <row r="37" spans="1:62">
      <c r="A37" s="13"/>
      <c r="B37" s="123"/>
      <c r="C37" s="344" t="s">
        <v>301</v>
      </c>
      <c r="D37" s="90"/>
      <c r="E37" s="293"/>
      <c r="F37" s="104"/>
      <c r="G37" s="104"/>
      <c r="H37" s="333" t="s">
        <v>145</v>
      </c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14"/>
      <c r="T37" s="295" t="s">
        <v>349</v>
      </c>
      <c r="U37" s="296"/>
      <c r="V37" s="59"/>
      <c r="W37" s="59"/>
      <c r="X37" s="59"/>
      <c r="Y37" s="59" t="s">
        <v>135</v>
      </c>
      <c r="Z37" s="59"/>
      <c r="AA37" s="59"/>
      <c r="AB37" s="59"/>
      <c r="AC37" s="59"/>
      <c r="AD37" s="59"/>
      <c r="AE37" s="297"/>
      <c r="AF37" s="59"/>
      <c r="AG37" s="297"/>
      <c r="AH37" s="59"/>
      <c r="AI37" s="297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298"/>
      <c r="BF37" s="298"/>
      <c r="BG37" s="298" t="s">
        <v>356</v>
      </c>
      <c r="BH37" s="14"/>
      <c r="BI37" s="14"/>
    </row>
    <row r="38" spans="1:62">
      <c r="A38" s="13"/>
      <c r="B38" s="122"/>
      <c r="C38" s="344"/>
      <c r="D38" s="90"/>
      <c r="E38" s="293"/>
      <c r="F38" s="105"/>
      <c r="G38" s="105"/>
      <c r="H38" s="334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14"/>
      <c r="T38" s="90"/>
      <c r="U38" s="90" t="s">
        <v>43</v>
      </c>
      <c r="V38" s="14"/>
      <c r="W38" s="59"/>
      <c r="X38" s="59"/>
      <c r="Y38" s="59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59"/>
      <c r="BF38" s="59"/>
      <c r="BG38" s="59"/>
      <c r="BH38" s="14"/>
      <c r="BI38" s="14"/>
    </row>
    <row r="39" spans="1:62">
      <c r="A39" s="14"/>
      <c r="B39" s="122"/>
      <c r="C39" s="335" t="s">
        <v>96</v>
      </c>
      <c r="D39" s="58"/>
      <c r="E39" s="58"/>
      <c r="F39" s="104"/>
      <c r="G39" s="104"/>
      <c r="H39" s="333" t="s">
        <v>147</v>
      </c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14"/>
      <c r="T39" s="438" t="s">
        <v>376</v>
      </c>
      <c r="U39" s="438"/>
      <c r="V39" s="14"/>
      <c r="W39" s="59"/>
      <c r="X39" s="59"/>
      <c r="Y39" s="59" t="s">
        <v>44</v>
      </c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59"/>
      <c r="BF39" s="59"/>
      <c r="BG39" s="59" t="s">
        <v>44</v>
      </c>
      <c r="BH39" s="14"/>
      <c r="BI39" s="14"/>
    </row>
    <row r="40" spans="1:62">
      <c r="A40" s="14"/>
      <c r="B40" s="122"/>
      <c r="C40" s="335"/>
      <c r="D40" s="58"/>
      <c r="E40" s="58"/>
      <c r="F40" s="58"/>
      <c r="G40" s="58"/>
      <c r="H40" s="335"/>
      <c r="I40" s="58"/>
      <c r="J40" s="90"/>
      <c r="K40" s="90"/>
      <c r="L40" s="90"/>
      <c r="M40" s="90"/>
      <c r="N40" s="90"/>
      <c r="O40" s="90"/>
      <c r="P40" s="90"/>
      <c r="Q40" s="90"/>
      <c r="R40" s="90"/>
      <c r="S40" s="14"/>
      <c r="T40" s="90"/>
      <c r="U40" s="90"/>
      <c r="V40" s="14"/>
      <c r="W40" s="59"/>
      <c r="X40" s="59"/>
      <c r="Y40" s="59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59"/>
      <c r="BF40" s="59"/>
      <c r="BG40" s="59"/>
      <c r="BH40" s="14"/>
      <c r="BI40" s="14"/>
    </row>
    <row r="41" spans="1:62">
      <c r="A41" s="14"/>
      <c r="B41" s="122"/>
      <c r="C41" s="335" t="s">
        <v>97</v>
      </c>
      <c r="D41" s="58"/>
      <c r="E41" s="58"/>
      <c r="F41" s="58"/>
      <c r="G41" s="58"/>
      <c r="H41" s="335" t="s">
        <v>355</v>
      </c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14"/>
      <c r="T41" s="746" t="s">
        <v>45</v>
      </c>
      <c r="U41" s="746"/>
      <c r="V41" s="14"/>
      <c r="W41" s="59"/>
      <c r="X41" s="59"/>
      <c r="Y41" s="59" t="s">
        <v>46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59"/>
      <c r="BF41" s="59"/>
      <c r="BG41" s="59" t="s">
        <v>46</v>
      </c>
      <c r="BH41" s="14"/>
      <c r="BI41" s="14"/>
    </row>
    <row r="42" spans="1:62">
      <c r="A42" s="14"/>
      <c r="B42" s="120"/>
      <c r="C42" s="44"/>
      <c r="D42" s="1"/>
      <c r="E42" s="1"/>
      <c r="F42" s="1"/>
      <c r="G42" s="1"/>
      <c r="H42" s="4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2" ht="15.75" customHeight="1">
      <c r="A43" s="14"/>
      <c r="B43" s="120"/>
      <c r="C43" s="44"/>
      <c r="D43" s="1"/>
      <c r="E43" s="1"/>
      <c r="F43" s="1"/>
      <c r="G43" s="1"/>
      <c r="H43" s="44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703" t="s">
        <v>295</v>
      </c>
      <c r="U43" s="703"/>
      <c r="V43" s="703"/>
      <c r="W43" s="703"/>
      <c r="X43" s="59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  <c r="BE43" s="59"/>
      <c r="BF43" s="59"/>
      <c r="BG43" s="59" t="s">
        <v>296</v>
      </c>
      <c r="BH43" s="1"/>
      <c r="BI43" s="1"/>
    </row>
    <row r="44" spans="1:62">
      <c r="A44" s="1"/>
      <c r="B44" s="120"/>
      <c r="C44" s="44"/>
      <c r="D44" s="1"/>
      <c r="E44" s="1"/>
      <c r="F44" s="1"/>
      <c r="G44" s="1"/>
      <c r="H44" s="44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2">
      <c r="A45" s="1"/>
    </row>
    <row r="46" spans="1:62">
      <c r="A46" s="1"/>
    </row>
  </sheetData>
  <mergeCells count="35">
    <mergeCell ref="T43:W43"/>
    <mergeCell ref="A5:A7"/>
    <mergeCell ref="B5:B7"/>
    <mergeCell ref="C5:C7"/>
    <mergeCell ref="D5:D7"/>
    <mergeCell ref="E5:F5"/>
    <mergeCell ref="I5:O5"/>
    <mergeCell ref="P5:U6"/>
    <mergeCell ref="T41:U41"/>
    <mergeCell ref="B1:D1"/>
    <mergeCell ref="B2:K2"/>
    <mergeCell ref="B3:F3"/>
    <mergeCell ref="K3:T3"/>
    <mergeCell ref="K4:T4"/>
    <mergeCell ref="BH5:BH7"/>
    <mergeCell ref="BI5:BI7"/>
    <mergeCell ref="E6:E7"/>
    <mergeCell ref="F6:F7"/>
    <mergeCell ref="G6:G7"/>
    <mergeCell ref="H6:H7"/>
    <mergeCell ref="I6:I7"/>
    <mergeCell ref="J6:O6"/>
    <mergeCell ref="BG6:BG7"/>
    <mergeCell ref="BC6:BD6"/>
    <mergeCell ref="BE6:BF6"/>
    <mergeCell ref="AU6:AV6"/>
    <mergeCell ref="AW6:AX6"/>
    <mergeCell ref="AY6:AZ6"/>
    <mergeCell ref="BA6:BB6"/>
    <mergeCell ref="V6:W6"/>
    <mergeCell ref="X6:X7"/>
    <mergeCell ref="Y6:AK6"/>
    <mergeCell ref="AM6:AP6"/>
    <mergeCell ref="AQ6:AR6"/>
    <mergeCell ref="AS6:AT6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colBreaks count="1" manualBreakCount="1">
    <brk id="16" max="4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3"/>
  <sheetViews>
    <sheetView view="pageBreakPreview" topLeftCell="A13" zoomScale="81" zoomScaleNormal="80" zoomScaleSheetLayoutView="81" workbookViewId="0">
      <selection activeCell="B19" sqref="B19"/>
    </sheetView>
  </sheetViews>
  <sheetFormatPr defaultColWidth="9.140625" defaultRowHeight="15"/>
  <cols>
    <col min="1" max="1" width="7.28515625" style="64" customWidth="1"/>
    <col min="2" max="2" width="20.5703125" style="64" customWidth="1"/>
    <col min="3" max="3" width="16" style="287" customWidth="1"/>
    <col min="4" max="4" width="7.28515625" style="64" customWidth="1"/>
    <col min="5" max="5" width="9.85546875" style="64" customWidth="1"/>
    <col min="6" max="6" width="6.85546875" style="64" customWidth="1"/>
    <col min="7" max="7" width="7.7109375" style="64" customWidth="1"/>
    <col min="8" max="8" width="9.5703125" style="64" customWidth="1"/>
    <col min="9" max="9" width="7" style="64" customWidth="1"/>
    <col min="10" max="11" width="5.7109375" style="64" customWidth="1"/>
    <col min="12" max="12" width="7" style="64" customWidth="1"/>
    <col min="13" max="13" width="8.85546875" style="64" customWidth="1"/>
    <col min="14" max="14" width="5.7109375" style="64" customWidth="1"/>
    <col min="15" max="15" width="8.28515625" style="64" customWidth="1"/>
    <col min="16" max="17" width="5.7109375" style="64" customWidth="1"/>
    <col min="18" max="18" width="12.7109375" style="64" customWidth="1"/>
    <col min="19" max="19" width="12.28515625" style="64" customWidth="1"/>
    <col min="20" max="20" width="5.7109375" style="64" customWidth="1"/>
    <col min="21" max="21" width="12.28515625" style="64" customWidth="1"/>
    <col min="22" max="23" width="5.7109375" style="64" customWidth="1"/>
    <col min="24" max="24" width="12.28515625" style="64" customWidth="1"/>
    <col min="25" max="25" width="0.140625" style="64" customWidth="1"/>
    <col min="26" max="29" width="5.7109375" style="64" hidden="1" customWidth="1"/>
    <col min="30" max="30" width="0.140625" style="64" customWidth="1"/>
    <col min="31" max="37" width="5.7109375" style="64" hidden="1" customWidth="1"/>
    <col min="38" max="38" width="0.140625" style="64" customWidth="1"/>
    <col min="39" max="50" width="5.7109375" style="64" hidden="1" customWidth="1"/>
    <col min="51" max="51" width="5.7109375" style="64" customWidth="1"/>
    <col min="52" max="52" width="0.140625" style="64" customWidth="1"/>
    <col min="53" max="56" width="5.7109375" style="64" hidden="1" customWidth="1"/>
    <col min="57" max="57" width="10" style="64" bestFit="1" customWidth="1"/>
    <col min="58" max="58" width="13.7109375" style="64" bestFit="1" customWidth="1"/>
    <col min="59" max="59" width="13.28515625" style="64" customWidth="1"/>
    <col min="60" max="60" width="12.7109375" style="64" customWidth="1"/>
    <col min="61" max="61" width="14.42578125" style="64" customWidth="1"/>
    <col min="62" max="16384" width="9.140625" style="64"/>
  </cols>
  <sheetData>
    <row r="1" spans="1:61" ht="15.75">
      <c r="A1" s="1"/>
      <c r="B1" s="697" t="s">
        <v>0</v>
      </c>
      <c r="C1" s="697"/>
      <c r="D1" s="69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4"/>
      <c r="W1" s="1"/>
      <c r="X1" s="1"/>
      <c r="Y1" s="1"/>
      <c r="Z1" s="1"/>
      <c r="AA1" s="1"/>
      <c r="AB1" s="1"/>
      <c r="AC1" s="1"/>
      <c r="AD1" s="14"/>
      <c r="AE1" s="1"/>
      <c r="AF1" s="1"/>
      <c r="AG1" s="1"/>
      <c r="AH1" s="1"/>
      <c r="AI1" s="1"/>
      <c r="AJ1" s="1"/>
      <c r="AK1" s="1"/>
      <c r="AL1" s="1"/>
      <c r="AM1" s="14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27.75" customHeight="1">
      <c r="A2" s="1"/>
      <c r="B2" s="698" t="s">
        <v>438</v>
      </c>
      <c r="C2" s="698"/>
      <c r="D2" s="698"/>
      <c r="E2" s="699"/>
      <c r="F2" s="699"/>
      <c r="G2" s="699"/>
      <c r="H2" s="699"/>
      <c r="I2" s="699"/>
      <c r="J2" s="699"/>
      <c r="K2" s="699"/>
      <c r="L2" s="271"/>
      <c r="M2" s="1"/>
      <c r="N2" s="1"/>
      <c r="O2" s="1"/>
      <c r="P2" s="1"/>
      <c r="Q2" s="1"/>
      <c r="R2" s="1"/>
      <c r="S2" s="1"/>
      <c r="T2" s="1"/>
      <c r="U2" s="1"/>
      <c r="V2" s="14"/>
      <c r="W2" s="1"/>
      <c r="X2" s="1"/>
      <c r="Y2" s="1"/>
      <c r="Z2" s="1"/>
      <c r="AA2" s="1"/>
      <c r="AB2" s="1"/>
      <c r="AC2" s="1"/>
      <c r="AD2" s="14"/>
      <c r="AE2" s="1"/>
      <c r="AF2" s="1"/>
      <c r="AG2" s="1"/>
      <c r="AH2" s="1"/>
      <c r="AI2" s="1"/>
      <c r="AJ2" s="1"/>
      <c r="AK2" s="1"/>
      <c r="AL2" s="1"/>
      <c r="AM2" s="14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5.75">
      <c r="A3" s="1"/>
      <c r="B3" s="697" t="s">
        <v>412</v>
      </c>
      <c r="C3" s="697"/>
      <c r="D3" s="697"/>
      <c r="E3" s="700"/>
      <c r="F3" s="700"/>
      <c r="G3" s="1"/>
      <c r="H3" s="1"/>
      <c r="I3" s="1"/>
      <c r="J3" s="1"/>
      <c r="K3" s="701" t="s">
        <v>440</v>
      </c>
      <c r="L3" s="701"/>
      <c r="M3" s="701"/>
      <c r="N3" s="701"/>
      <c r="O3" s="701"/>
      <c r="P3" s="701"/>
      <c r="Q3" s="701"/>
      <c r="R3" s="701"/>
      <c r="S3" s="701"/>
      <c r="T3" s="701"/>
      <c r="U3" s="1"/>
      <c r="V3" s="14"/>
      <c r="W3" s="1"/>
      <c r="X3" s="1"/>
      <c r="Y3" s="1"/>
      <c r="Z3" s="1"/>
      <c r="AA3" s="1"/>
      <c r="AB3" s="1"/>
      <c r="AC3" s="1"/>
      <c r="AD3" s="14"/>
      <c r="AE3" s="1"/>
      <c r="AF3" s="1"/>
      <c r="AG3" s="1"/>
      <c r="AH3" s="1"/>
      <c r="AI3" s="1"/>
      <c r="AJ3" s="1"/>
      <c r="AK3" s="1"/>
      <c r="AL3" s="1"/>
      <c r="AM3" s="14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5.75">
      <c r="A4" s="3"/>
      <c r="B4" s="3"/>
      <c r="C4" s="336"/>
      <c r="D4" s="3"/>
      <c r="E4" s="3"/>
      <c r="F4" s="3"/>
      <c r="G4" s="3" t="s">
        <v>1</v>
      </c>
      <c r="H4" s="65">
        <v>17697</v>
      </c>
      <c r="I4" s="3"/>
      <c r="J4" s="3"/>
      <c r="K4" s="702"/>
      <c r="L4" s="702"/>
      <c r="M4" s="702"/>
      <c r="N4" s="702"/>
      <c r="O4" s="702"/>
      <c r="P4" s="702"/>
      <c r="Q4" s="702"/>
      <c r="R4" s="702"/>
      <c r="S4" s="702"/>
      <c r="T4" s="702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</row>
    <row r="5" spans="1:61" ht="15" customHeight="1">
      <c r="A5" s="742" t="s">
        <v>2</v>
      </c>
      <c r="B5" s="695" t="s">
        <v>3</v>
      </c>
      <c r="C5" s="745" t="s">
        <v>4</v>
      </c>
      <c r="D5" s="695" t="s">
        <v>5</v>
      </c>
      <c r="E5" s="695" t="s">
        <v>6</v>
      </c>
      <c r="F5" s="695"/>
      <c r="G5" s="270"/>
      <c r="H5" s="270"/>
      <c r="I5" s="696" t="s">
        <v>7</v>
      </c>
      <c r="J5" s="696"/>
      <c r="K5" s="696"/>
      <c r="L5" s="696"/>
      <c r="M5" s="696"/>
      <c r="N5" s="696"/>
      <c r="O5" s="696"/>
      <c r="P5" s="696" t="s">
        <v>8</v>
      </c>
      <c r="Q5" s="696"/>
      <c r="R5" s="696"/>
      <c r="S5" s="696"/>
      <c r="T5" s="696"/>
      <c r="U5" s="696"/>
      <c r="V5" s="81" t="s">
        <v>66</v>
      </c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3"/>
      <c r="BH5" s="695" t="s">
        <v>9</v>
      </c>
      <c r="BI5" s="695" t="s">
        <v>10</v>
      </c>
    </row>
    <row r="6" spans="1:61" ht="97.5" customHeight="1">
      <c r="A6" s="743"/>
      <c r="B6" s="695"/>
      <c r="C6" s="745"/>
      <c r="D6" s="695"/>
      <c r="E6" s="695" t="s">
        <v>11</v>
      </c>
      <c r="F6" s="695" t="s">
        <v>12</v>
      </c>
      <c r="G6" s="695" t="s">
        <v>13</v>
      </c>
      <c r="H6" s="695" t="s">
        <v>14</v>
      </c>
      <c r="I6" s="696" t="s">
        <v>15</v>
      </c>
      <c r="J6" s="696" t="s">
        <v>16</v>
      </c>
      <c r="K6" s="696"/>
      <c r="L6" s="696"/>
      <c r="M6" s="696"/>
      <c r="N6" s="696"/>
      <c r="O6" s="696"/>
      <c r="P6" s="696"/>
      <c r="Q6" s="696"/>
      <c r="R6" s="696"/>
      <c r="S6" s="696"/>
      <c r="T6" s="696"/>
      <c r="U6" s="696"/>
      <c r="V6" s="711" t="s">
        <v>67</v>
      </c>
      <c r="W6" s="713"/>
      <c r="X6" s="714"/>
      <c r="Y6" s="696" t="s">
        <v>17</v>
      </c>
      <c r="Z6" s="696"/>
      <c r="AA6" s="696"/>
      <c r="AB6" s="696"/>
      <c r="AC6" s="696"/>
      <c r="AD6" s="696"/>
      <c r="AE6" s="696"/>
      <c r="AF6" s="696"/>
      <c r="AG6" s="696"/>
      <c r="AH6" s="696"/>
      <c r="AI6" s="696"/>
      <c r="AJ6" s="696"/>
      <c r="AK6" s="696"/>
      <c r="AL6" s="270"/>
      <c r="AM6" s="696" t="s">
        <v>18</v>
      </c>
      <c r="AN6" s="696"/>
      <c r="AO6" s="696"/>
      <c r="AP6" s="696"/>
      <c r="AQ6" s="696" t="s">
        <v>64</v>
      </c>
      <c r="AR6" s="696"/>
      <c r="AS6" s="711" t="s">
        <v>69</v>
      </c>
      <c r="AT6" s="713"/>
      <c r="AU6" s="711" t="s">
        <v>70</v>
      </c>
      <c r="AV6" s="713"/>
      <c r="AW6" s="711" t="s">
        <v>71</v>
      </c>
      <c r="AX6" s="713"/>
      <c r="AY6" s="696" t="s">
        <v>65</v>
      </c>
      <c r="AZ6" s="696"/>
      <c r="BA6" s="696" t="s">
        <v>19</v>
      </c>
      <c r="BB6" s="696"/>
      <c r="BC6" s="696" t="s">
        <v>20</v>
      </c>
      <c r="BD6" s="696"/>
      <c r="BE6" s="711" t="s">
        <v>136</v>
      </c>
      <c r="BF6" s="713"/>
      <c r="BG6" s="696" t="s">
        <v>21</v>
      </c>
      <c r="BH6" s="695"/>
      <c r="BI6" s="695"/>
    </row>
    <row r="7" spans="1:61" ht="165">
      <c r="A7" s="744"/>
      <c r="B7" s="695"/>
      <c r="C7" s="745"/>
      <c r="D7" s="695"/>
      <c r="E7" s="695"/>
      <c r="F7" s="695"/>
      <c r="G7" s="695"/>
      <c r="H7" s="695"/>
      <c r="I7" s="696"/>
      <c r="J7" s="270" t="s">
        <v>22</v>
      </c>
      <c r="K7" s="270" t="s">
        <v>23</v>
      </c>
      <c r="L7" s="89" t="s">
        <v>39</v>
      </c>
      <c r="M7" s="89" t="s">
        <v>35</v>
      </c>
      <c r="N7" s="89" t="s">
        <v>302</v>
      </c>
      <c r="O7" s="270" t="s">
        <v>27</v>
      </c>
      <c r="P7" s="270" t="s">
        <v>22</v>
      </c>
      <c r="Q7" s="270" t="s">
        <v>23</v>
      </c>
      <c r="R7" s="300" t="s">
        <v>39</v>
      </c>
      <c r="S7" s="300" t="s">
        <v>35</v>
      </c>
      <c r="T7" s="300" t="s">
        <v>302</v>
      </c>
      <c r="U7" s="270" t="s">
        <v>28</v>
      </c>
      <c r="V7" s="270" t="s">
        <v>29</v>
      </c>
      <c r="W7" s="66" t="s">
        <v>30</v>
      </c>
      <c r="X7" s="714"/>
      <c r="Y7" s="270" t="s">
        <v>31</v>
      </c>
      <c r="Z7" s="270" t="s">
        <v>32</v>
      </c>
      <c r="AA7" s="270" t="s">
        <v>31</v>
      </c>
      <c r="AB7" s="270" t="s">
        <v>33</v>
      </c>
      <c r="AC7" s="270" t="s">
        <v>31</v>
      </c>
      <c r="AD7" s="270" t="s">
        <v>34</v>
      </c>
      <c r="AE7" s="270" t="s">
        <v>31</v>
      </c>
      <c r="AF7" s="270" t="s">
        <v>24</v>
      </c>
      <c r="AG7" s="270" t="s">
        <v>31</v>
      </c>
      <c r="AH7" s="270" t="s">
        <v>35</v>
      </c>
      <c r="AI7" s="270" t="s">
        <v>31</v>
      </c>
      <c r="AJ7" s="270" t="s">
        <v>26</v>
      </c>
      <c r="AK7" s="67" t="s">
        <v>36</v>
      </c>
      <c r="AL7" s="270" t="s">
        <v>37</v>
      </c>
      <c r="AM7" s="270" t="s">
        <v>38</v>
      </c>
      <c r="AN7" s="270" t="s">
        <v>39</v>
      </c>
      <c r="AO7" s="270" t="s">
        <v>38</v>
      </c>
      <c r="AP7" s="68" t="s">
        <v>40</v>
      </c>
      <c r="AQ7" s="270" t="s">
        <v>38</v>
      </c>
      <c r="AR7" s="270" t="s">
        <v>30</v>
      </c>
      <c r="AS7" s="270" t="s">
        <v>68</v>
      </c>
      <c r="AT7" s="270" t="s">
        <v>30</v>
      </c>
      <c r="AU7" s="270" t="s">
        <v>68</v>
      </c>
      <c r="AV7" s="270" t="s">
        <v>30</v>
      </c>
      <c r="AW7" s="270" t="s">
        <v>68</v>
      </c>
      <c r="AX7" s="270" t="s">
        <v>30</v>
      </c>
      <c r="AY7" s="270" t="s">
        <v>38</v>
      </c>
      <c r="AZ7" s="270" t="s">
        <v>30</v>
      </c>
      <c r="BA7" s="270" t="s">
        <v>41</v>
      </c>
      <c r="BB7" s="270" t="s">
        <v>30</v>
      </c>
      <c r="BC7" s="270" t="s">
        <v>29</v>
      </c>
      <c r="BD7" s="270" t="s">
        <v>30</v>
      </c>
      <c r="BE7" s="272" t="s">
        <v>134</v>
      </c>
      <c r="BF7" s="270" t="s">
        <v>30</v>
      </c>
      <c r="BG7" s="696"/>
      <c r="BH7" s="695"/>
      <c r="BI7" s="695"/>
    </row>
    <row r="8" spans="1:61">
      <c r="A8" s="269">
        <v>1</v>
      </c>
      <c r="B8" s="269">
        <v>2</v>
      </c>
      <c r="C8" s="330">
        <v>3</v>
      </c>
      <c r="D8" s="269">
        <v>4</v>
      </c>
      <c r="E8" s="269">
        <v>5</v>
      </c>
      <c r="F8" s="269">
        <v>6</v>
      </c>
      <c r="G8" s="269">
        <v>7</v>
      </c>
      <c r="H8" s="269">
        <v>8</v>
      </c>
      <c r="I8" s="269">
        <v>9</v>
      </c>
      <c r="J8" s="269">
        <v>10</v>
      </c>
      <c r="K8" s="269">
        <v>11</v>
      </c>
      <c r="L8" s="269">
        <v>12</v>
      </c>
      <c r="M8" s="269">
        <v>13</v>
      </c>
      <c r="N8" s="269">
        <v>14</v>
      </c>
      <c r="O8" s="269">
        <v>15</v>
      </c>
      <c r="P8" s="269">
        <v>16</v>
      </c>
      <c r="Q8" s="269">
        <v>17</v>
      </c>
      <c r="R8" s="269">
        <v>18</v>
      </c>
      <c r="S8" s="269">
        <v>19</v>
      </c>
      <c r="T8" s="269">
        <v>20</v>
      </c>
      <c r="U8" s="269">
        <v>21</v>
      </c>
      <c r="V8" s="269">
        <v>22</v>
      </c>
      <c r="W8" s="269">
        <v>23</v>
      </c>
      <c r="X8" s="269">
        <v>24</v>
      </c>
      <c r="Y8" s="269">
        <v>25</v>
      </c>
      <c r="Z8" s="269">
        <v>26</v>
      </c>
      <c r="AA8" s="269">
        <v>27</v>
      </c>
      <c r="AB8" s="269">
        <v>28</v>
      </c>
      <c r="AC8" s="269">
        <v>29</v>
      </c>
      <c r="AD8" s="269">
        <v>30</v>
      </c>
      <c r="AE8" s="269">
        <v>31</v>
      </c>
      <c r="AF8" s="269">
        <v>32</v>
      </c>
      <c r="AG8" s="269">
        <v>33</v>
      </c>
      <c r="AH8" s="269">
        <v>34</v>
      </c>
      <c r="AI8" s="269">
        <v>35</v>
      </c>
      <c r="AJ8" s="269">
        <v>36</v>
      </c>
      <c r="AK8" s="269">
        <v>37</v>
      </c>
      <c r="AL8" s="269">
        <v>38</v>
      </c>
      <c r="AM8" s="269">
        <v>39</v>
      </c>
      <c r="AN8" s="269">
        <v>40</v>
      </c>
      <c r="AO8" s="269">
        <v>41</v>
      </c>
      <c r="AP8" s="269">
        <v>42</v>
      </c>
      <c r="AQ8" s="269">
        <v>43</v>
      </c>
      <c r="AR8" s="269">
        <v>44</v>
      </c>
      <c r="AS8" s="269">
        <v>45</v>
      </c>
      <c r="AT8" s="269">
        <v>46</v>
      </c>
      <c r="AU8" s="269">
        <v>47</v>
      </c>
      <c r="AV8" s="269">
        <v>48</v>
      </c>
      <c r="AW8" s="269">
        <v>49</v>
      </c>
      <c r="AX8" s="269">
        <v>50</v>
      </c>
      <c r="AY8" s="269">
        <v>51</v>
      </c>
      <c r="AZ8" s="269">
        <v>52</v>
      </c>
      <c r="BA8" s="269">
        <v>53</v>
      </c>
      <c r="BB8" s="269">
        <v>54</v>
      </c>
      <c r="BC8" s="269">
        <v>55</v>
      </c>
      <c r="BD8" s="269">
        <v>56</v>
      </c>
      <c r="BE8" s="269"/>
      <c r="BF8" s="269">
        <v>57</v>
      </c>
      <c r="BG8" s="269">
        <v>58</v>
      </c>
      <c r="BH8" s="269">
        <v>59</v>
      </c>
      <c r="BI8" s="269">
        <v>60</v>
      </c>
    </row>
    <row r="9" spans="1:61" ht="31.5">
      <c r="A9" s="4">
        <v>1</v>
      </c>
      <c r="B9" s="133" t="s">
        <v>168</v>
      </c>
      <c r="C9" s="278" t="s">
        <v>269</v>
      </c>
      <c r="D9" s="212" t="s">
        <v>163</v>
      </c>
      <c r="E9" s="219" t="s">
        <v>181</v>
      </c>
      <c r="F9" s="212">
        <v>1</v>
      </c>
      <c r="G9" s="212">
        <v>23.01</v>
      </c>
      <c r="H9" s="380">
        <v>5.12</v>
      </c>
      <c r="I9" s="213">
        <f t="shared" ref="I9" si="0">ROUND((((J9+K9))/24)+(L9+M9+N9)/18,2)</f>
        <v>0.78</v>
      </c>
      <c r="J9" s="310"/>
      <c r="K9" s="310"/>
      <c r="L9" s="311"/>
      <c r="M9" s="311">
        <v>14</v>
      </c>
      <c r="N9" s="364"/>
      <c r="O9" s="376">
        <f t="shared" ref="O9" si="1">SUM(J9:N9)</f>
        <v>14</v>
      </c>
      <c r="P9" s="312">
        <f t="shared" ref="P9" si="2">SUM(($H$4*H9)/24)*J9</f>
        <v>0</v>
      </c>
      <c r="Q9" s="312">
        <f t="shared" ref="Q9" si="3">SUM(($H$4*H9)/24)*K9</f>
        <v>0</v>
      </c>
      <c r="R9" s="40">
        <f t="shared" ref="R9" si="4">($H$4*H9)/18*L9</f>
        <v>0</v>
      </c>
      <c r="S9" s="42">
        <f t="shared" ref="S9" si="5">($H$4*H9)*M9/18</f>
        <v>70473.386666666658</v>
      </c>
      <c r="T9" s="312">
        <f t="shared" ref="T9" si="6">($H$4*H9)/18*N9</f>
        <v>0</v>
      </c>
      <c r="U9" s="316">
        <f t="shared" ref="U9" si="7">SUM(P9:T9)</f>
        <v>70473.386666666658</v>
      </c>
      <c r="V9" s="41"/>
      <c r="W9" s="312">
        <f t="shared" ref="W9" si="8">(U9*V9)/100</f>
        <v>0</v>
      </c>
      <c r="X9" s="316">
        <f t="shared" ref="X9" si="9">SUM(U9,W9)</f>
        <v>70473.386666666658</v>
      </c>
      <c r="Y9" s="264"/>
      <c r="Z9" s="42">
        <f t="shared" ref="Z9" si="10">($H$4*0.25)*Y9/18</f>
        <v>0</v>
      </c>
      <c r="AA9" s="265"/>
      <c r="AB9" s="8">
        <f t="shared" ref="AB9" si="11">SUM(($H$4*0.25)/18)*AA9</f>
        <v>0</v>
      </c>
      <c r="AC9" s="42"/>
      <c r="AD9" s="42">
        <f t="shared" ref="AD9" si="12">SUM(($H$4*0.25)/18*AC9)</f>
        <v>0</v>
      </c>
      <c r="AE9" s="264"/>
      <c r="AF9" s="8">
        <f t="shared" ref="AF9" si="13">SUM(($H$4*0.2)/18)*AE9</f>
        <v>0</v>
      </c>
      <c r="AG9" s="264"/>
      <c r="AH9" s="42">
        <f t="shared" ref="AH9" si="14">SUM(($H$4*0.2)/18)*AG9</f>
        <v>0</v>
      </c>
      <c r="AI9" s="264"/>
      <c r="AJ9" s="8">
        <f t="shared" ref="AJ9" si="15">SUM(($H$4*0.2)/18)*AI9</f>
        <v>0</v>
      </c>
      <c r="AK9" s="266">
        <f t="shared" ref="AK9" si="16">SUM(Y9,AA9,AC9,AE9,AG9,AI9)</f>
        <v>0</v>
      </c>
      <c r="AL9" s="8">
        <f t="shared" ref="AL9" si="17">SUM(Z9,AB9,AD9,AF9,AH9,AJ9)</f>
        <v>0</v>
      </c>
      <c r="AM9" s="267"/>
      <c r="AN9" s="42">
        <f t="shared" ref="AN9" si="18">SUM($H$4*0.25)*AM9</f>
        <v>0</v>
      </c>
      <c r="AO9" s="265"/>
      <c r="AP9" s="42">
        <f t="shared" ref="AP9" si="19">SUM($H$4*0.3)*AO9</f>
        <v>0</v>
      </c>
      <c r="AQ9" s="42"/>
      <c r="AR9" s="42">
        <f t="shared" ref="AR9" si="20">SUM($H$4*0.2*AQ9)</f>
        <v>0</v>
      </c>
      <c r="AS9" s="264"/>
      <c r="AT9" s="42">
        <f t="shared" ref="AT9" si="21">SUM($H$4*$H9*AS9/18)</f>
        <v>0</v>
      </c>
      <c r="AU9" s="264"/>
      <c r="AV9" s="42">
        <f t="shared" ref="AV9" si="22">SUM($H$4*$H9*AU9/18)*0.7</f>
        <v>0</v>
      </c>
      <c r="AW9" s="267"/>
      <c r="AX9" s="42">
        <f t="shared" ref="AX9" si="23">SUM($H$4*$H9*AW9/18)*0.3</f>
        <v>0</v>
      </c>
      <c r="AY9" s="264"/>
      <c r="AZ9" s="42">
        <f t="shared" ref="AZ9" si="24">SUM(($H$4*0.25)/18)*AY9</f>
        <v>0</v>
      </c>
      <c r="BA9" s="42"/>
      <c r="BB9" s="42">
        <f t="shared" ref="BB9" si="25">SUM($H$4*0.2)*BA9</f>
        <v>0</v>
      </c>
      <c r="BC9" s="42"/>
      <c r="BD9" s="42">
        <f t="shared" ref="BD9" si="26">((($H$4*BC9)/100)*20)/100</f>
        <v>0</v>
      </c>
      <c r="BE9" s="40">
        <f t="shared" ref="BE9" si="27">SUM(O9)</f>
        <v>14</v>
      </c>
      <c r="BF9" s="366">
        <f t="shared" ref="BF9" si="28">SUM((U9/O9*BE9)*0.3)</f>
        <v>21142.015999999996</v>
      </c>
      <c r="BG9" s="8">
        <f t="shared" ref="BG9" si="29">AL9+AN9+AP9+AT9+AV9+AX9+AZ9+BB9+BD9+BF9+AR9</f>
        <v>21142.015999999996</v>
      </c>
      <c r="BH9" s="42">
        <f t="shared" ref="BH9" si="30">BG9</f>
        <v>21142.015999999996</v>
      </c>
      <c r="BI9" s="42">
        <f>BH9*12</f>
        <v>253704.19199999995</v>
      </c>
    </row>
    <row r="10" spans="1:61" ht="31.5">
      <c r="A10" s="62"/>
      <c r="B10" s="86" t="s">
        <v>99</v>
      </c>
      <c r="C10" s="341"/>
      <c r="D10" s="100"/>
      <c r="E10" s="101"/>
      <c r="F10" s="102"/>
      <c r="G10" s="103"/>
      <c r="H10" s="288"/>
      <c r="I10" s="86">
        <f t="shared" ref="I10:AN10" si="31">SUM(I9:I9)</f>
        <v>0.78</v>
      </c>
      <c r="J10" s="313">
        <f t="shared" si="31"/>
        <v>0</v>
      </c>
      <c r="K10" s="313">
        <f t="shared" si="31"/>
        <v>0</v>
      </c>
      <c r="L10" s="313">
        <f t="shared" si="31"/>
        <v>0</v>
      </c>
      <c r="M10" s="313">
        <f t="shared" si="31"/>
        <v>14</v>
      </c>
      <c r="N10" s="313">
        <f t="shared" si="31"/>
        <v>0</v>
      </c>
      <c r="O10" s="377">
        <f t="shared" si="31"/>
        <v>14</v>
      </c>
      <c r="P10" s="313">
        <f t="shared" si="31"/>
        <v>0</v>
      </c>
      <c r="Q10" s="313">
        <f t="shared" si="31"/>
        <v>0</v>
      </c>
      <c r="R10" s="266">
        <f t="shared" si="31"/>
        <v>0</v>
      </c>
      <c r="S10" s="86">
        <f t="shared" si="31"/>
        <v>70473.386666666658</v>
      </c>
      <c r="T10" s="313">
        <f t="shared" si="31"/>
        <v>0</v>
      </c>
      <c r="U10" s="315">
        <f t="shared" si="31"/>
        <v>70473.386666666658</v>
      </c>
      <c r="V10" s="86">
        <f t="shared" si="31"/>
        <v>0</v>
      </c>
      <c r="W10" s="313">
        <f t="shared" si="31"/>
        <v>0</v>
      </c>
      <c r="X10" s="315">
        <f t="shared" si="31"/>
        <v>70473.386666666658</v>
      </c>
      <c r="Y10" s="86">
        <f t="shared" si="31"/>
        <v>0</v>
      </c>
      <c r="Z10" s="86">
        <f t="shared" si="31"/>
        <v>0</v>
      </c>
      <c r="AA10" s="86">
        <f t="shared" si="31"/>
        <v>0</v>
      </c>
      <c r="AB10" s="86">
        <f t="shared" si="31"/>
        <v>0</v>
      </c>
      <c r="AC10" s="86">
        <f t="shared" si="31"/>
        <v>0</v>
      </c>
      <c r="AD10" s="86">
        <f t="shared" si="31"/>
        <v>0</v>
      </c>
      <c r="AE10" s="86">
        <f t="shared" si="31"/>
        <v>0</v>
      </c>
      <c r="AF10" s="86">
        <f t="shared" si="31"/>
        <v>0</v>
      </c>
      <c r="AG10" s="86">
        <f t="shared" si="31"/>
        <v>0</v>
      </c>
      <c r="AH10" s="86">
        <f t="shared" si="31"/>
        <v>0</v>
      </c>
      <c r="AI10" s="86">
        <f t="shared" si="31"/>
        <v>0</v>
      </c>
      <c r="AJ10" s="86">
        <f t="shared" si="31"/>
        <v>0</v>
      </c>
      <c r="AK10" s="86">
        <f t="shared" si="31"/>
        <v>0</v>
      </c>
      <c r="AL10" s="86">
        <f t="shared" si="31"/>
        <v>0</v>
      </c>
      <c r="AM10" s="86">
        <f t="shared" si="31"/>
        <v>0</v>
      </c>
      <c r="AN10" s="86">
        <f t="shared" si="31"/>
        <v>0</v>
      </c>
      <c r="AO10" s="86">
        <f t="shared" ref="AO10:BI10" si="32">SUM(AO9:AO9)</f>
        <v>0</v>
      </c>
      <c r="AP10" s="86">
        <f t="shared" si="32"/>
        <v>0</v>
      </c>
      <c r="AQ10" s="86">
        <f t="shared" si="32"/>
        <v>0</v>
      </c>
      <c r="AR10" s="86">
        <f t="shared" si="32"/>
        <v>0</v>
      </c>
      <c r="AS10" s="86">
        <f t="shared" si="32"/>
        <v>0</v>
      </c>
      <c r="AT10" s="86">
        <f t="shared" si="32"/>
        <v>0</v>
      </c>
      <c r="AU10" s="86">
        <f t="shared" si="32"/>
        <v>0</v>
      </c>
      <c r="AV10" s="86">
        <f t="shared" si="32"/>
        <v>0</v>
      </c>
      <c r="AW10" s="86">
        <f t="shared" si="32"/>
        <v>0</v>
      </c>
      <c r="AX10" s="86">
        <f t="shared" si="32"/>
        <v>0</v>
      </c>
      <c r="AY10" s="86">
        <f t="shared" si="32"/>
        <v>0</v>
      </c>
      <c r="AZ10" s="86">
        <f t="shared" si="32"/>
        <v>0</v>
      </c>
      <c r="BA10" s="86">
        <f t="shared" si="32"/>
        <v>0</v>
      </c>
      <c r="BB10" s="86">
        <f t="shared" si="32"/>
        <v>0</v>
      </c>
      <c r="BC10" s="86">
        <f t="shared" si="32"/>
        <v>0</v>
      </c>
      <c r="BD10" s="86">
        <f t="shared" si="32"/>
        <v>0</v>
      </c>
      <c r="BE10" s="86">
        <f t="shared" si="32"/>
        <v>14</v>
      </c>
      <c r="BF10" s="375">
        <f t="shared" si="32"/>
        <v>21142.015999999996</v>
      </c>
      <c r="BG10" s="86">
        <f t="shared" si="32"/>
        <v>21142.015999999996</v>
      </c>
      <c r="BH10" s="86">
        <f t="shared" si="32"/>
        <v>21142.015999999996</v>
      </c>
      <c r="BI10" s="266">
        <f t="shared" si="32"/>
        <v>253704.19199999995</v>
      </c>
    </row>
    <row r="11" spans="1:61" ht="31.5">
      <c r="A11" s="62">
        <v>1</v>
      </c>
      <c r="B11" s="603" t="s">
        <v>417</v>
      </c>
      <c r="C11" s="212" t="s">
        <v>175</v>
      </c>
      <c r="D11" s="212" t="s">
        <v>163</v>
      </c>
      <c r="E11" s="130" t="s">
        <v>174</v>
      </c>
      <c r="F11" s="212">
        <v>2</v>
      </c>
      <c r="G11" s="212">
        <v>11</v>
      </c>
      <c r="H11" s="380">
        <v>4.8099999999999996</v>
      </c>
      <c r="I11" s="213">
        <f t="shared" ref="I11:I12" si="33">ROUND((((J11+K11))/24)+(L11+M11+N11)/18,2)</f>
        <v>1.44</v>
      </c>
      <c r="J11" s="313"/>
      <c r="K11" s="313"/>
      <c r="L11" s="313"/>
      <c r="M11" s="313">
        <v>26</v>
      </c>
      <c r="N11" s="313"/>
      <c r="O11" s="448">
        <f t="shared" ref="O11" si="34">SUM(J11:N11)</f>
        <v>26</v>
      </c>
      <c r="P11" s="9">
        <f t="shared" ref="P11" si="35">SUM(($H$4*H11)/24)*J11</f>
        <v>0</v>
      </c>
      <c r="Q11" s="40">
        <f t="shared" ref="Q11" si="36">SUM(($H$4*H11)/24)*K11</f>
        <v>0</v>
      </c>
      <c r="R11" s="42">
        <f t="shared" ref="R11" si="37">($H$4*H11)/18*L11</f>
        <v>0</v>
      </c>
      <c r="S11" s="42">
        <f t="shared" ref="S11" si="38">($H$4*H11)*M11/18</f>
        <v>122954.82333333332</v>
      </c>
      <c r="T11" s="40">
        <f t="shared" ref="T11" si="39">($H$4*H11)/18*N11</f>
        <v>0</v>
      </c>
      <c r="U11" s="42">
        <f t="shared" ref="U11" si="40">SUM(P11:T11)</f>
        <v>122954.82333333332</v>
      </c>
      <c r="V11" s="41"/>
      <c r="W11" s="40">
        <f t="shared" ref="W11" si="41">(U11*V11)/100</f>
        <v>0</v>
      </c>
      <c r="X11" s="42">
        <f t="shared" ref="X11" si="42">SUM(U11,W11)</f>
        <v>122954.82333333332</v>
      </c>
      <c r="Y11" s="264"/>
      <c r="Z11" s="42">
        <f t="shared" ref="Z11" si="43">($H$4*0.25)*Y11/18</f>
        <v>0</v>
      </c>
      <c r="AA11" s="265"/>
      <c r="AB11" s="8">
        <f t="shared" ref="AB11" si="44">SUM(($H$4*0.25)/18)*AA11</f>
        <v>0</v>
      </c>
      <c r="AC11" s="42"/>
      <c r="AD11" s="42">
        <f t="shared" ref="AD11" si="45">SUM(($H$4*0.25)/18*AC11)</f>
        <v>0</v>
      </c>
      <c r="AE11" s="264"/>
      <c r="AF11" s="8">
        <f t="shared" ref="AF11" si="46">SUM(($H$4*0.2)/18)*AE11</f>
        <v>0</v>
      </c>
      <c r="AG11" s="264"/>
      <c r="AH11" s="42">
        <f t="shared" ref="AH11" si="47">SUM(($H$4*0.2)/18)*AG11</f>
        <v>0</v>
      </c>
      <c r="AI11" s="264"/>
      <c r="AJ11" s="8">
        <f t="shared" ref="AJ11" si="48">SUM(($H$4*0.2)/18)*AI11</f>
        <v>0</v>
      </c>
      <c r="AK11" s="266">
        <f t="shared" ref="AK11" si="49">SUM(Y11,AA11,AC11,AE11,AG11,AI11)</f>
        <v>0</v>
      </c>
      <c r="AL11" s="8">
        <f t="shared" ref="AL11" si="50">SUM(Z11,AB11,AD11,AF11,AH11,AJ11)</f>
        <v>0</v>
      </c>
      <c r="AM11" s="267"/>
      <c r="AN11" s="42">
        <f t="shared" ref="AN11" si="51">SUM($H$4*0.25)*AM11</f>
        <v>0</v>
      </c>
      <c r="AO11" s="265"/>
      <c r="AP11" s="42">
        <f t="shared" ref="AP11" si="52">SUM($H$4*0.3)*AO11</f>
        <v>0</v>
      </c>
      <c r="AQ11" s="42"/>
      <c r="AR11" s="42">
        <f t="shared" ref="AR11" si="53">SUM($H$4*0.2*AQ11)</f>
        <v>0</v>
      </c>
      <c r="AS11" s="264"/>
      <c r="AT11" s="42">
        <f t="shared" ref="AT11" si="54">SUM($H$4*$H11*AS11/18)</f>
        <v>0</v>
      </c>
      <c r="AU11" s="264"/>
      <c r="AV11" s="42">
        <f t="shared" ref="AV11" si="55">SUM($H$4*$H11*AU11/18)*0.7</f>
        <v>0</v>
      </c>
      <c r="AW11" s="267"/>
      <c r="AX11" s="42">
        <f t="shared" ref="AX11" si="56">SUM($H$4*$H11*AW11/18)*0.3</f>
        <v>0</v>
      </c>
      <c r="AY11" s="264"/>
      <c r="AZ11" s="42">
        <f t="shared" ref="AZ11" si="57">SUM(($H$4*0.25)/18)*AY11</f>
        <v>0</v>
      </c>
      <c r="BA11" s="42"/>
      <c r="BB11" s="42">
        <f t="shared" ref="BB11" si="58">SUM($H$4*0.2)*BA11</f>
        <v>0</v>
      </c>
      <c r="BC11" s="42"/>
      <c r="BD11" s="42">
        <f t="shared" ref="BD11" si="59">((($H$4*BC11)/100)*20)/100</f>
        <v>0</v>
      </c>
      <c r="BE11" s="40">
        <f t="shared" ref="BE11" si="60">SUM(O11)</f>
        <v>26</v>
      </c>
      <c r="BF11" s="366">
        <f t="shared" ref="BF11" si="61">SUM((U11/O11*BE11)*0.3)</f>
        <v>36886.446999999993</v>
      </c>
      <c r="BG11" s="8">
        <f t="shared" ref="BG11" si="62">AL11+AN11+AP11+AT11+AV11+AX11+AZ11+BB11+BD11+BF11+AR11</f>
        <v>36886.446999999993</v>
      </c>
      <c r="BH11" s="42">
        <f t="shared" ref="BH11" si="63">BG11</f>
        <v>36886.446999999993</v>
      </c>
      <c r="BI11" s="42">
        <f t="shared" ref="BI11" si="64">BH11*12</f>
        <v>442637.36399999994</v>
      </c>
    </row>
    <row r="12" spans="1:61" ht="31.5">
      <c r="A12" s="62">
        <v>2</v>
      </c>
      <c r="B12" s="135" t="s">
        <v>176</v>
      </c>
      <c r="C12" s="339" t="s">
        <v>297</v>
      </c>
      <c r="D12" s="212" t="s">
        <v>163</v>
      </c>
      <c r="E12" s="130" t="s">
        <v>174</v>
      </c>
      <c r="F12" s="212">
        <v>2</v>
      </c>
      <c r="G12" s="212">
        <v>14.08</v>
      </c>
      <c r="H12" s="380">
        <v>4.9000000000000004</v>
      </c>
      <c r="I12" s="213">
        <f t="shared" si="33"/>
        <v>1.5</v>
      </c>
      <c r="J12" s="234"/>
      <c r="K12" s="234"/>
      <c r="L12" s="253"/>
      <c r="M12" s="306">
        <v>27</v>
      </c>
      <c r="N12" s="229"/>
      <c r="O12" s="448">
        <f t="shared" ref="O12" si="65">SUM(J12:N12)</f>
        <v>27</v>
      </c>
      <c r="P12" s="9">
        <f t="shared" ref="P12" si="66">SUM(($H$4*H12)/24)*J12</f>
        <v>0</v>
      </c>
      <c r="Q12" s="40">
        <f t="shared" ref="Q12" si="67">SUM(($H$4*H12)/24)*K12</f>
        <v>0</v>
      </c>
      <c r="R12" s="42">
        <f t="shared" ref="R12" si="68">($H$4*H12)/18*L12</f>
        <v>0</v>
      </c>
      <c r="S12" s="42">
        <f t="shared" ref="S12" si="69">($H$4*H12)*M12/18</f>
        <v>130072.95000000001</v>
      </c>
      <c r="T12" s="40">
        <f t="shared" ref="T12" si="70">($H$4*H12)/18*N12</f>
        <v>0</v>
      </c>
      <c r="U12" s="42">
        <f t="shared" ref="U12" si="71">SUM(P12:T12)</f>
        <v>130072.95000000001</v>
      </c>
      <c r="V12" s="41"/>
      <c r="W12" s="40">
        <f t="shared" ref="W12" si="72">(U12*V12)/100</f>
        <v>0</v>
      </c>
      <c r="X12" s="42">
        <f t="shared" ref="X12" si="73">SUM(U12,W12)</f>
        <v>130072.95000000001</v>
      </c>
      <c r="Y12" s="264"/>
      <c r="Z12" s="42">
        <f t="shared" ref="Z12" si="74">($H$4*0.25)*Y12/18</f>
        <v>0</v>
      </c>
      <c r="AA12" s="265"/>
      <c r="AB12" s="8">
        <f t="shared" ref="AB12" si="75">SUM(($H$4*0.25)/18)*AA12</f>
        <v>0</v>
      </c>
      <c r="AC12" s="42"/>
      <c r="AD12" s="42">
        <f t="shared" ref="AD12" si="76">SUM(($H$4*0.25)/18*AC12)</f>
        <v>0</v>
      </c>
      <c r="AE12" s="264"/>
      <c r="AF12" s="8">
        <f t="shared" ref="AF12" si="77">SUM(($H$4*0.2)/18)*AE12</f>
        <v>0</v>
      </c>
      <c r="AG12" s="264"/>
      <c r="AH12" s="42">
        <f t="shared" ref="AH12" si="78">SUM(($H$4*0.2)/18)*AG12</f>
        <v>0</v>
      </c>
      <c r="AI12" s="264"/>
      <c r="AJ12" s="8">
        <f t="shared" ref="AJ12" si="79">SUM(($H$4*0.2)/18)*AI12</f>
        <v>0</v>
      </c>
      <c r="AK12" s="266">
        <f t="shared" ref="AK12:AL12" si="80">SUM(Y12,AA12,AC12,AE12,AG12,AI12)</f>
        <v>0</v>
      </c>
      <c r="AL12" s="8">
        <f t="shared" si="80"/>
        <v>0</v>
      </c>
      <c r="AM12" s="267"/>
      <c r="AN12" s="42">
        <f t="shared" ref="AN12" si="81">SUM($H$4*0.25)*AM12</f>
        <v>0</v>
      </c>
      <c r="AO12" s="265"/>
      <c r="AP12" s="42">
        <f t="shared" ref="AP12" si="82">SUM($H$4*0.3)*AO12</f>
        <v>0</v>
      </c>
      <c r="AQ12" s="42"/>
      <c r="AR12" s="42">
        <f t="shared" ref="AR12" si="83">SUM($H$4*0.2*AQ12)</f>
        <v>0</v>
      </c>
      <c r="AS12" s="264"/>
      <c r="AT12" s="42">
        <f t="shared" ref="AT12" si="84">SUM($H$4*$H12*AS12/18)</f>
        <v>0</v>
      </c>
      <c r="AU12" s="264"/>
      <c r="AV12" s="42">
        <f t="shared" ref="AV12" si="85">SUM($H$4*$H12*AU12/18)*0.7</f>
        <v>0</v>
      </c>
      <c r="AW12" s="267"/>
      <c r="AX12" s="42">
        <f t="shared" ref="AX12" si="86">SUM($H$4*$H12*AW12/18)*0.3</f>
        <v>0</v>
      </c>
      <c r="AY12" s="264"/>
      <c r="AZ12" s="42">
        <f t="shared" ref="AZ12" si="87">SUM(($H$4*0.25)/18)*AY12</f>
        <v>0</v>
      </c>
      <c r="BA12" s="42"/>
      <c r="BB12" s="42">
        <f t="shared" ref="BB12" si="88">SUM($H$4*0.2)*BA12</f>
        <v>0</v>
      </c>
      <c r="BC12" s="42"/>
      <c r="BD12" s="42">
        <f t="shared" ref="BD12" si="89">((($H$4*BC12)/100)*20)/100</f>
        <v>0</v>
      </c>
      <c r="BE12" s="40">
        <f t="shared" ref="BE12" si="90">SUM(O12)</f>
        <v>27</v>
      </c>
      <c r="BF12" s="366">
        <f t="shared" ref="BF12" si="91">SUM((U12/O12*BE12)*0.3)</f>
        <v>39021.885000000002</v>
      </c>
      <c r="BG12" s="8">
        <f t="shared" ref="BG12" si="92">AL12+AN12+AP12+AT12+AV12+AX12+AZ12+BB12+BD12+BF12+AR12</f>
        <v>39021.885000000002</v>
      </c>
      <c r="BH12" s="42">
        <f t="shared" ref="BH12" si="93">BG12</f>
        <v>39021.885000000002</v>
      </c>
      <c r="BI12" s="42">
        <f t="shared" ref="BI12" si="94">BH12*12</f>
        <v>468262.62</v>
      </c>
    </row>
    <row r="13" spans="1:61" ht="18.75" customHeight="1">
      <c r="A13" s="99"/>
      <c r="B13" s="86" t="s">
        <v>100</v>
      </c>
      <c r="C13" s="341"/>
      <c r="D13" s="100"/>
      <c r="E13" s="101"/>
      <c r="F13" s="102"/>
      <c r="G13" s="103"/>
      <c r="H13" s="288"/>
      <c r="I13" s="86">
        <f>SUM(I11:I12)</f>
        <v>2.94</v>
      </c>
      <c r="J13" s="86">
        <f t="shared" ref="J13:BI13" si="95">SUM(J11:J12)</f>
        <v>0</v>
      </c>
      <c r="K13" s="86">
        <f t="shared" si="95"/>
        <v>0</v>
      </c>
      <c r="L13" s="86">
        <f t="shared" si="95"/>
        <v>0</v>
      </c>
      <c r="M13" s="86">
        <f t="shared" si="95"/>
        <v>53</v>
      </c>
      <c r="N13" s="86">
        <f t="shared" si="95"/>
        <v>0</v>
      </c>
      <c r="O13" s="86">
        <f t="shared" si="95"/>
        <v>53</v>
      </c>
      <c r="P13" s="86">
        <f t="shared" si="95"/>
        <v>0</v>
      </c>
      <c r="Q13" s="86">
        <f t="shared" si="95"/>
        <v>0</v>
      </c>
      <c r="R13" s="86">
        <f t="shared" si="95"/>
        <v>0</v>
      </c>
      <c r="S13" s="86">
        <f t="shared" si="95"/>
        <v>253027.77333333332</v>
      </c>
      <c r="T13" s="86">
        <f t="shared" si="95"/>
        <v>0</v>
      </c>
      <c r="U13" s="86">
        <f t="shared" si="95"/>
        <v>253027.77333333332</v>
      </c>
      <c r="V13" s="86">
        <f t="shared" si="95"/>
        <v>0</v>
      </c>
      <c r="W13" s="86">
        <f t="shared" si="95"/>
        <v>0</v>
      </c>
      <c r="X13" s="86">
        <f t="shared" si="95"/>
        <v>253027.77333333332</v>
      </c>
      <c r="Y13" s="86">
        <f t="shared" si="95"/>
        <v>0</v>
      </c>
      <c r="Z13" s="86">
        <f t="shared" si="95"/>
        <v>0</v>
      </c>
      <c r="AA13" s="86">
        <f t="shared" si="95"/>
        <v>0</v>
      </c>
      <c r="AB13" s="86">
        <f t="shared" si="95"/>
        <v>0</v>
      </c>
      <c r="AC13" s="86">
        <f t="shared" si="95"/>
        <v>0</v>
      </c>
      <c r="AD13" s="86">
        <f t="shared" si="95"/>
        <v>0</v>
      </c>
      <c r="AE13" s="86">
        <f t="shared" si="95"/>
        <v>0</v>
      </c>
      <c r="AF13" s="86">
        <f t="shared" si="95"/>
        <v>0</v>
      </c>
      <c r="AG13" s="86">
        <f t="shared" si="95"/>
        <v>0</v>
      </c>
      <c r="AH13" s="86">
        <f t="shared" si="95"/>
        <v>0</v>
      </c>
      <c r="AI13" s="86">
        <f t="shared" si="95"/>
        <v>0</v>
      </c>
      <c r="AJ13" s="86">
        <f t="shared" si="95"/>
        <v>0</v>
      </c>
      <c r="AK13" s="86">
        <f t="shared" si="95"/>
        <v>0</v>
      </c>
      <c r="AL13" s="86">
        <f t="shared" si="95"/>
        <v>0</v>
      </c>
      <c r="AM13" s="86">
        <f t="shared" si="95"/>
        <v>0</v>
      </c>
      <c r="AN13" s="86">
        <f t="shared" si="95"/>
        <v>0</v>
      </c>
      <c r="AO13" s="86">
        <f t="shared" si="95"/>
        <v>0</v>
      </c>
      <c r="AP13" s="86">
        <f t="shared" si="95"/>
        <v>0</v>
      </c>
      <c r="AQ13" s="86">
        <f t="shared" si="95"/>
        <v>0</v>
      </c>
      <c r="AR13" s="86">
        <f t="shared" si="95"/>
        <v>0</v>
      </c>
      <c r="AS13" s="86">
        <f t="shared" si="95"/>
        <v>0</v>
      </c>
      <c r="AT13" s="86">
        <f t="shared" si="95"/>
        <v>0</v>
      </c>
      <c r="AU13" s="86">
        <f t="shared" si="95"/>
        <v>0</v>
      </c>
      <c r="AV13" s="86">
        <f t="shared" si="95"/>
        <v>0</v>
      </c>
      <c r="AW13" s="86">
        <f t="shared" si="95"/>
        <v>0</v>
      </c>
      <c r="AX13" s="86">
        <f t="shared" si="95"/>
        <v>0</v>
      </c>
      <c r="AY13" s="86">
        <f t="shared" si="95"/>
        <v>0</v>
      </c>
      <c r="AZ13" s="86">
        <f t="shared" si="95"/>
        <v>0</v>
      </c>
      <c r="BA13" s="86">
        <f t="shared" si="95"/>
        <v>0</v>
      </c>
      <c r="BB13" s="86">
        <f t="shared" si="95"/>
        <v>0</v>
      </c>
      <c r="BC13" s="86">
        <f t="shared" si="95"/>
        <v>0</v>
      </c>
      <c r="BD13" s="86">
        <f t="shared" si="95"/>
        <v>0</v>
      </c>
      <c r="BE13" s="86">
        <f t="shared" si="95"/>
        <v>53</v>
      </c>
      <c r="BF13" s="86">
        <f t="shared" si="95"/>
        <v>75908.331999999995</v>
      </c>
      <c r="BG13" s="86">
        <f t="shared" si="95"/>
        <v>75908.331999999995</v>
      </c>
      <c r="BH13" s="86">
        <f t="shared" si="95"/>
        <v>75908.331999999995</v>
      </c>
      <c r="BI13" s="86">
        <f t="shared" si="95"/>
        <v>910899.98399999994</v>
      </c>
    </row>
    <row r="14" spans="1:61" ht="34.5" customHeight="1">
      <c r="A14" s="413">
        <v>1</v>
      </c>
      <c r="B14" s="133" t="s">
        <v>419</v>
      </c>
      <c r="C14" s="212" t="s">
        <v>167</v>
      </c>
      <c r="D14" s="212" t="s">
        <v>166</v>
      </c>
      <c r="E14" s="219" t="s">
        <v>161</v>
      </c>
      <c r="F14" s="212" t="s">
        <v>150</v>
      </c>
      <c r="G14" s="212">
        <v>2.09</v>
      </c>
      <c r="H14" s="381">
        <v>4.1900000000000004</v>
      </c>
      <c r="I14" s="213">
        <f t="shared" ref="I14:I20" si="96">ROUND((((J14+K14))/24)+(L14+M14+N14)/18,2)</f>
        <v>0.44</v>
      </c>
      <c r="J14" s="86"/>
      <c r="K14" s="86"/>
      <c r="L14" s="86"/>
      <c r="M14" s="416">
        <v>8</v>
      </c>
      <c r="N14" s="86"/>
      <c r="O14" s="314">
        <f t="shared" ref="O14:O18" si="97">SUM(J14:N14)</f>
        <v>8</v>
      </c>
      <c r="P14" s="312">
        <f t="shared" ref="P14" si="98">SUM(($H$4*H14)/24)*J14</f>
        <v>0</v>
      </c>
      <c r="Q14" s="312">
        <f t="shared" ref="Q14" si="99">SUM(($H$4*H14)/24)*K14</f>
        <v>0</v>
      </c>
      <c r="R14" s="40">
        <f t="shared" ref="R14" si="100">($H$4*H14)/18*L14</f>
        <v>0</v>
      </c>
      <c r="S14" s="42">
        <f t="shared" ref="S14" si="101">($H$4*H14)*M14/18</f>
        <v>32955.746666666673</v>
      </c>
      <c r="T14" s="312">
        <f t="shared" ref="T14" si="102">($H$4*H14)/18*N14</f>
        <v>0</v>
      </c>
      <c r="U14" s="316">
        <f t="shared" ref="U14" si="103">SUM(P14:T14)</f>
        <v>32955.746666666673</v>
      </c>
      <c r="V14" s="41"/>
      <c r="W14" s="312">
        <f t="shared" ref="W14" si="104">(U14*V14)/100</f>
        <v>0</v>
      </c>
      <c r="X14" s="316">
        <f t="shared" ref="X14" si="105">SUM(U14,W14)</f>
        <v>32955.746666666673</v>
      </c>
      <c r="Y14" s="264"/>
      <c r="Z14" s="42">
        <f t="shared" ref="Z14" si="106">($H$4*0.25)*Y14/18</f>
        <v>0</v>
      </c>
      <c r="AA14" s="265"/>
      <c r="AB14" s="8">
        <f t="shared" ref="AB14" si="107">SUM(($H$4*0.25)/18)*AA14</f>
        <v>0</v>
      </c>
      <c r="AC14" s="42"/>
      <c r="AD14" s="42">
        <f t="shared" ref="AD14" si="108">SUM(($H$4*0.25)/18*AC14)</f>
        <v>0</v>
      </c>
      <c r="AE14" s="264"/>
      <c r="AF14" s="8">
        <f t="shared" ref="AF14" si="109">SUM(($H$4*0.2)/18)*AE14</f>
        <v>0</v>
      </c>
      <c r="AG14" s="264"/>
      <c r="AH14" s="42">
        <f t="shared" ref="AH14" si="110">SUM(($H$4*0.2)/18)*AG14</f>
        <v>0</v>
      </c>
      <c r="AI14" s="264"/>
      <c r="AJ14" s="8">
        <f t="shared" ref="AJ14" si="111">SUM(($H$4*0.2)/18)*AI14</f>
        <v>0</v>
      </c>
      <c r="AK14" s="266">
        <f t="shared" ref="AK14" si="112">SUM(Y14,AA14,AC14,AE14,AG14,AI14)</f>
        <v>0</v>
      </c>
      <c r="AL14" s="8">
        <f t="shared" ref="AL14" si="113">SUM(Z14,AB14,AD14,AF14,AH14,AJ14)</f>
        <v>0</v>
      </c>
      <c r="AM14" s="267"/>
      <c r="AN14" s="42">
        <f t="shared" ref="AN14" si="114">SUM($H$4*0.25)*AM14</f>
        <v>0</v>
      </c>
      <c r="AO14" s="265"/>
      <c r="AP14" s="42">
        <f t="shared" ref="AP14" si="115">SUM($H$4*0.3)*AO14</f>
        <v>0</v>
      </c>
      <c r="AQ14" s="42"/>
      <c r="AR14" s="42">
        <f t="shared" ref="AR14" si="116">SUM($H$4*0.2*AQ14)</f>
        <v>0</v>
      </c>
      <c r="AS14" s="264"/>
      <c r="AT14" s="42">
        <f t="shared" ref="AT14" si="117">SUM($H$4*$H14*AS14/18)</f>
        <v>0</v>
      </c>
      <c r="AU14" s="264"/>
      <c r="AV14" s="42">
        <f t="shared" ref="AV14" si="118">SUM($H$4*$H14*AU14/18)*0.7</f>
        <v>0</v>
      </c>
      <c r="AW14" s="267"/>
      <c r="AX14" s="42">
        <f t="shared" ref="AX14" si="119">SUM($H$4*$H14*AW14/18)*0.3</f>
        <v>0</v>
      </c>
      <c r="AY14" s="264"/>
      <c r="AZ14" s="42">
        <f t="shared" ref="AZ14" si="120">SUM(($H$4*0.25)/18)*AY14</f>
        <v>0</v>
      </c>
      <c r="BA14" s="42"/>
      <c r="BB14" s="42">
        <f t="shared" ref="BB14" si="121">SUM($H$4*0.2)*BA14</f>
        <v>0</v>
      </c>
      <c r="BC14" s="42"/>
      <c r="BD14" s="42">
        <f t="shared" ref="BD14" si="122">((($H$4*BC14)/100)*20)/100</f>
        <v>0</v>
      </c>
      <c r="BE14" s="40">
        <f t="shared" ref="BE14" si="123">SUM(O14)</f>
        <v>8</v>
      </c>
      <c r="BF14" s="366">
        <f t="shared" ref="BF14" si="124">SUM((U14/O14*BE14)*0.3)</f>
        <v>9886.724000000002</v>
      </c>
      <c r="BG14" s="8">
        <f t="shared" ref="BG14" si="125">AL14+AN14+AP14+AT14+AV14+AX14+AZ14+BB14+BD14+BF14+AR14</f>
        <v>9886.724000000002</v>
      </c>
      <c r="BH14" s="42">
        <f t="shared" ref="BH14" si="126">BG14</f>
        <v>9886.724000000002</v>
      </c>
      <c r="BI14" s="42">
        <f>BH14*12</f>
        <v>118640.68800000002</v>
      </c>
    </row>
    <row r="15" spans="1:61" ht="47.25">
      <c r="A15" s="413">
        <v>2</v>
      </c>
      <c r="B15" s="604" t="s">
        <v>420</v>
      </c>
      <c r="C15" s="599" t="s">
        <v>190</v>
      </c>
      <c r="D15" s="212" t="s">
        <v>163</v>
      </c>
      <c r="E15" s="130" t="s">
        <v>161</v>
      </c>
      <c r="F15" s="212" t="s">
        <v>150</v>
      </c>
      <c r="G15" s="212">
        <v>1</v>
      </c>
      <c r="H15" s="380">
        <v>4.1399999999999997</v>
      </c>
      <c r="I15" s="281">
        <f t="shared" si="96"/>
        <v>0.39</v>
      </c>
      <c r="J15" s="282"/>
      <c r="K15" s="282"/>
      <c r="L15" s="283">
        <v>3</v>
      </c>
      <c r="M15" s="283">
        <v>4</v>
      </c>
      <c r="N15" s="283"/>
      <c r="O15" s="282">
        <f t="shared" si="97"/>
        <v>7</v>
      </c>
      <c r="P15" s="312">
        <f t="shared" ref="P15:P16" si="127">SUM(($H$4*H15)/24)*J15</f>
        <v>0</v>
      </c>
      <c r="Q15" s="312">
        <f t="shared" ref="Q15:Q16" si="128">SUM(($H$4*H15)/24)*K15</f>
        <v>0</v>
      </c>
      <c r="R15" s="40">
        <f t="shared" ref="R15:R16" si="129">($H$4*H15)/18*L15</f>
        <v>12210.929999999998</v>
      </c>
      <c r="S15" s="42">
        <f t="shared" ref="S15:S16" si="130">($H$4*H15)*M15/18</f>
        <v>16281.239999999998</v>
      </c>
      <c r="T15" s="312">
        <f t="shared" ref="T15:T16" si="131">($H$4*H15)/18*N15</f>
        <v>0</v>
      </c>
      <c r="U15" s="316">
        <f t="shared" ref="U15:U16" si="132">SUM(P15:T15)</f>
        <v>28492.17</v>
      </c>
      <c r="V15" s="41"/>
      <c r="W15" s="312">
        <f t="shared" ref="W15:W16" si="133">(U15*V15)/100</f>
        <v>0</v>
      </c>
      <c r="X15" s="316">
        <f t="shared" ref="X15:X16" si="134">SUM(U15,W15)</f>
        <v>28492.17</v>
      </c>
      <c r="Y15" s="264"/>
      <c r="Z15" s="42">
        <f t="shared" ref="Z15:Z16" si="135">($H$4*0.25)*Y15/18</f>
        <v>0</v>
      </c>
      <c r="AA15" s="265"/>
      <c r="AB15" s="8">
        <f t="shared" ref="AB15:AB16" si="136">SUM(($H$4*0.25)/18)*AA15</f>
        <v>0</v>
      </c>
      <c r="AC15" s="42"/>
      <c r="AD15" s="42">
        <f t="shared" ref="AD15:AD16" si="137">SUM(($H$4*0.25)/18*AC15)</f>
        <v>0</v>
      </c>
      <c r="AE15" s="264"/>
      <c r="AF15" s="8">
        <f t="shared" ref="AF15:AF16" si="138">SUM(($H$4*0.2)/18)*AE15</f>
        <v>0</v>
      </c>
      <c r="AG15" s="264"/>
      <c r="AH15" s="42">
        <f t="shared" ref="AH15:AH16" si="139">SUM(($H$4*0.2)/18)*AG15</f>
        <v>0</v>
      </c>
      <c r="AI15" s="264"/>
      <c r="AJ15" s="8">
        <f t="shared" ref="AJ15:AJ16" si="140">SUM(($H$4*0.2)/18)*AI15</f>
        <v>0</v>
      </c>
      <c r="AK15" s="266">
        <f t="shared" ref="AK15:AK16" si="141">SUM(Y15,AA15,AC15,AE15,AG15,AI15)</f>
        <v>0</v>
      </c>
      <c r="AL15" s="8">
        <f t="shared" ref="AL15:AL16" si="142">SUM(Z15,AB15,AD15,AF15,AH15,AJ15)</f>
        <v>0</v>
      </c>
      <c r="AM15" s="267"/>
      <c r="AN15" s="42">
        <f t="shared" ref="AN15:AN16" si="143">SUM($H$4*0.25)*AM15</f>
        <v>0</v>
      </c>
      <c r="AO15" s="265"/>
      <c r="AP15" s="42">
        <f t="shared" ref="AP15:AP16" si="144">SUM($H$4*0.3)*AO15</f>
        <v>0</v>
      </c>
      <c r="AQ15" s="42"/>
      <c r="AR15" s="42">
        <f t="shared" ref="AR15:AR16" si="145">SUM($H$4*0.2*AQ15)</f>
        <v>0</v>
      </c>
      <c r="AS15" s="264"/>
      <c r="AT15" s="42">
        <f t="shared" ref="AT15:AT16" si="146">SUM($H$4*$H15*AS15/18)</f>
        <v>0</v>
      </c>
      <c r="AU15" s="264"/>
      <c r="AV15" s="42">
        <f t="shared" ref="AV15:AV16" si="147">SUM($H$4*$H15*AU15/18)*0.7</f>
        <v>0</v>
      </c>
      <c r="AW15" s="267"/>
      <c r="AX15" s="42">
        <f t="shared" ref="AX15:AX16" si="148">SUM($H$4*$H15*AW15/18)*0.3</f>
        <v>0</v>
      </c>
      <c r="AY15" s="264"/>
      <c r="AZ15" s="42">
        <f t="shared" ref="AZ15:AZ16" si="149">SUM(($H$4*0.25)/18)*AY15</f>
        <v>0</v>
      </c>
      <c r="BA15" s="42"/>
      <c r="BB15" s="42">
        <f t="shared" ref="BB15:BB16" si="150">SUM($H$4*0.2)*BA15</f>
        <v>0</v>
      </c>
      <c r="BC15" s="42"/>
      <c r="BD15" s="42">
        <f t="shared" ref="BD15:BD16" si="151">((($H$4*BC15)/100)*20)/100</f>
        <v>0</v>
      </c>
      <c r="BE15" s="40">
        <f t="shared" ref="BE15:BE16" si="152">SUM(O15)</f>
        <v>7</v>
      </c>
      <c r="BF15" s="366">
        <f t="shared" ref="BF15:BF16" si="153">SUM((U15/O15*BE15)*0.3)</f>
        <v>8547.6509999999998</v>
      </c>
      <c r="BG15" s="8">
        <f t="shared" ref="BG15:BG16" si="154">AL15+AN15+AP15+AT15+AV15+AX15+AZ15+BB15+BD15+BF15+AR15</f>
        <v>8547.6509999999998</v>
      </c>
      <c r="BH15" s="42">
        <f t="shared" ref="BH15:BH16" si="155">BG15</f>
        <v>8547.6509999999998</v>
      </c>
      <c r="BI15" s="42">
        <f t="shared" ref="BI15:BI16" si="156">BH15*12</f>
        <v>102571.81200000001</v>
      </c>
    </row>
    <row r="16" spans="1:61" ht="47.25">
      <c r="A16" s="129">
        <v>3</v>
      </c>
      <c r="B16" s="133" t="s">
        <v>378</v>
      </c>
      <c r="C16" s="212" t="s">
        <v>240</v>
      </c>
      <c r="D16" s="212" t="s">
        <v>163</v>
      </c>
      <c r="E16" s="219" t="s">
        <v>379</v>
      </c>
      <c r="F16" s="212" t="s">
        <v>150</v>
      </c>
      <c r="G16" s="212">
        <v>7.09</v>
      </c>
      <c r="H16" s="381">
        <v>4.33</v>
      </c>
      <c r="I16" s="281">
        <f t="shared" si="96"/>
        <v>0.5</v>
      </c>
      <c r="J16" s="282"/>
      <c r="K16" s="282"/>
      <c r="L16" s="283"/>
      <c r="M16" s="283">
        <v>9</v>
      </c>
      <c r="N16" s="283"/>
      <c r="O16" s="282">
        <f t="shared" si="97"/>
        <v>9</v>
      </c>
      <c r="P16" s="312">
        <f t="shared" si="127"/>
        <v>0</v>
      </c>
      <c r="Q16" s="312">
        <f t="shared" si="128"/>
        <v>0</v>
      </c>
      <c r="R16" s="40">
        <f t="shared" si="129"/>
        <v>0</v>
      </c>
      <c r="S16" s="42">
        <f t="shared" si="130"/>
        <v>38314.004999999997</v>
      </c>
      <c r="T16" s="312">
        <f t="shared" si="131"/>
        <v>0</v>
      </c>
      <c r="U16" s="316">
        <f t="shared" si="132"/>
        <v>38314.004999999997</v>
      </c>
      <c r="V16" s="41"/>
      <c r="W16" s="312">
        <f t="shared" si="133"/>
        <v>0</v>
      </c>
      <c r="X16" s="316">
        <f t="shared" si="134"/>
        <v>38314.004999999997</v>
      </c>
      <c r="Y16" s="264"/>
      <c r="Z16" s="42">
        <f t="shared" si="135"/>
        <v>0</v>
      </c>
      <c r="AA16" s="265"/>
      <c r="AB16" s="8">
        <f t="shared" si="136"/>
        <v>0</v>
      </c>
      <c r="AC16" s="42"/>
      <c r="AD16" s="42">
        <f t="shared" si="137"/>
        <v>0</v>
      </c>
      <c r="AE16" s="264"/>
      <c r="AF16" s="8">
        <f t="shared" si="138"/>
        <v>0</v>
      </c>
      <c r="AG16" s="264"/>
      <c r="AH16" s="42">
        <f t="shared" si="139"/>
        <v>0</v>
      </c>
      <c r="AI16" s="264"/>
      <c r="AJ16" s="8">
        <f t="shared" si="140"/>
        <v>0</v>
      </c>
      <c r="AK16" s="266">
        <f t="shared" si="141"/>
        <v>0</v>
      </c>
      <c r="AL16" s="8">
        <f t="shared" si="142"/>
        <v>0</v>
      </c>
      <c r="AM16" s="267"/>
      <c r="AN16" s="42">
        <f t="shared" si="143"/>
        <v>0</v>
      </c>
      <c r="AO16" s="265"/>
      <c r="AP16" s="42">
        <f t="shared" si="144"/>
        <v>0</v>
      </c>
      <c r="AQ16" s="42"/>
      <c r="AR16" s="42">
        <f t="shared" si="145"/>
        <v>0</v>
      </c>
      <c r="AS16" s="264"/>
      <c r="AT16" s="42">
        <f t="shared" si="146"/>
        <v>0</v>
      </c>
      <c r="AU16" s="264"/>
      <c r="AV16" s="42">
        <f t="shared" si="147"/>
        <v>0</v>
      </c>
      <c r="AW16" s="267"/>
      <c r="AX16" s="42">
        <f t="shared" si="148"/>
        <v>0</v>
      </c>
      <c r="AY16" s="264"/>
      <c r="AZ16" s="42">
        <f t="shared" si="149"/>
        <v>0</v>
      </c>
      <c r="BA16" s="42"/>
      <c r="BB16" s="42">
        <f t="shared" si="150"/>
        <v>0</v>
      </c>
      <c r="BC16" s="42"/>
      <c r="BD16" s="42">
        <f t="shared" si="151"/>
        <v>0</v>
      </c>
      <c r="BE16" s="40">
        <f t="shared" si="152"/>
        <v>9</v>
      </c>
      <c r="BF16" s="366">
        <f t="shared" si="153"/>
        <v>11494.201499999999</v>
      </c>
      <c r="BG16" s="8">
        <f t="shared" si="154"/>
        <v>11494.201499999999</v>
      </c>
      <c r="BH16" s="42">
        <f t="shared" si="155"/>
        <v>11494.201499999999</v>
      </c>
      <c r="BI16" s="42">
        <f t="shared" si="156"/>
        <v>137930.41800000001</v>
      </c>
    </row>
    <row r="17" spans="1:61" ht="31.5">
      <c r="A17" s="129">
        <v>4</v>
      </c>
      <c r="B17" s="133" t="s">
        <v>171</v>
      </c>
      <c r="C17" s="449" t="s">
        <v>385</v>
      </c>
      <c r="D17" s="212" t="s">
        <v>163</v>
      </c>
      <c r="E17" s="192" t="s">
        <v>161</v>
      </c>
      <c r="F17" s="212" t="s">
        <v>150</v>
      </c>
      <c r="G17" s="280">
        <v>19.03</v>
      </c>
      <c r="H17" s="381">
        <v>4.59</v>
      </c>
      <c r="I17" s="281">
        <f t="shared" ref="I17" si="157">ROUND((((J17+K17))/24)+(L17+M17+N17)/18,2)</f>
        <v>0.78</v>
      </c>
      <c r="J17" s="282"/>
      <c r="K17" s="282"/>
      <c r="L17" s="283"/>
      <c r="M17" s="283">
        <v>14</v>
      </c>
      <c r="N17" s="283"/>
      <c r="O17" s="282">
        <f t="shared" ref="O17" si="158">SUM(J17:N17)</f>
        <v>14</v>
      </c>
      <c r="P17" s="312">
        <f t="shared" ref="P17" si="159">SUM(($H$4*H17)/24)*J17</f>
        <v>0</v>
      </c>
      <c r="Q17" s="312">
        <f t="shared" ref="Q17" si="160">SUM(($H$4*H17)/24)*K17</f>
        <v>0</v>
      </c>
      <c r="R17" s="40">
        <f t="shared" ref="R17" si="161">($H$4*H17)/18*L17</f>
        <v>0</v>
      </c>
      <c r="S17" s="42">
        <f t="shared" ref="S17" si="162">($H$4*H17)*M17/18</f>
        <v>63178.29</v>
      </c>
      <c r="T17" s="312">
        <f t="shared" ref="T17" si="163">($H$4*H17)/18*N17</f>
        <v>0</v>
      </c>
      <c r="U17" s="316">
        <f t="shared" ref="U17" si="164">SUM(P17:T17)</f>
        <v>63178.29</v>
      </c>
      <c r="V17" s="41"/>
      <c r="W17" s="312">
        <f t="shared" ref="W17" si="165">(U17*V17)/100</f>
        <v>0</v>
      </c>
      <c r="X17" s="316">
        <f t="shared" ref="X17" si="166">SUM(U17,W17)</f>
        <v>63178.29</v>
      </c>
      <c r="Y17" s="264"/>
      <c r="Z17" s="42">
        <f t="shared" ref="Z17" si="167">($H$4*0.25)*Y17/18</f>
        <v>0</v>
      </c>
      <c r="AA17" s="265"/>
      <c r="AB17" s="8">
        <f t="shared" ref="AB17" si="168">SUM(($H$4*0.25)/18)*AA17</f>
        <v>0</v>
      </c>
      <c r="AC17" s="42"/>
      <c r="AD17" s="42">
        <f t="shared" ref="AD17" si="169">SUM(($H$4*0.25)/18*AC17)</f>
        <v>0</v>
      </c>
      <c r="AE17" s="264"/>
      <c r="AF17" s="8">
        <f t="shared" ref="AF17" si="170">SUM(($H$4*0.2)/18)*AE17</f>
        <v>0</v>
      </c>
      <c r="AG17" s="264"/>
      <c r="AH17" s="42">
        <f t="shared" ref="AH17" si="171">SUM(($H$4*0.2)/18)*AG17</f>
        <v>0</v>
      </c>
      <c r="AI17" s="264"/>
      <c r="AJ17" s="8">
        <f t="shared" ref="AJ17" si="172">SUM(($H$4*0.2)/18)*AI17</f>
        <v>0</v>
      </c>
      <c r="AK17" s="266">
        <f t="shared" ref="AK17" si="173">SUM(Y17,AA17,AC17,AE17,AG17,AI17)</f>
        <v>0</v>
      </c>
      <c r="AL17" s="8">
        <f t="shared" ref="AL17" si="174">SUM(Z17,AB17,AD17,AF17,AH17,AJ17)</f>
        <v>0</v>
      </c>
      <c r="AM17" s="267"/>
      <c r="AN17" s="42">
        <f t="shared" ref="AN17" si="175">SUM($H$4*0.25)*AM17</f>
        <v>0</v>
      </c>
      <c r="AO17" s="265"/>
      <c r="AP17" s="42">
        <f t="shared" ref="AP17" si="176">SUM($H$4*0.3)*AO17</f>
        <v>0</v>
      </c>
      <c r="AQ17" s="42"/>
      <c r="AR17" s="42">
        <f t="shared" ref="AR17" si="177">SUM($H$4*0.2*AQ17)</f>
        <v>0</v>
      </c>
      <c r="AS17" s="264"/>
      <c r="AT17" s="42">
        <f t="shared" ref="AT17" si="178">SUM($H$4*$H17*AS17/18)</f>
        <v>0</v>
      </c>
      <c r="AU17" s="264"/>
      <c r="AV17" s="42">
        <f t="shared" ref="AV17" si="179">SUM($H$4*$H17*AU17/18)*0.7</f>
        <v>0</v>
      </c>
      <c r="AW17" s="267"/>
      <c r="AX17" s="42">
        <f t="shared" ref="AX17" si="180">SUM($H$4*$H17*AW17/18)*0.3</f>
        <v>0</v>
      </c>
      <c r="AY17" s="264"/>
      <c r="AZ17" s="42">
        <f t="shared" ref="AZ17" si="181">SUM(($H$4*0.25)/18)*AY17</f>
        <v>0</v>
      </c>
      <c r="BA17" s="42"/>
      <c r="BB17" s="42">
        <f t="shared" ref="BB17" si="182">SUM($H$4*0.2)*BA17</f>
        <v>0</v>
      </c>
      <c r="BC17" s="42"/>
      <c r="BD17" s="42">
        <f t="shared" ref="BD17" si="183">((($H$4*BC17)/100)*20)/100</f>
        <v>0</v>
      </c>
      <c r="BE17" s="40">
        <f t="shared" ref="BE17" si="184">SUM(O17)</f>
        <v>14</v>
      </c>
      <c r="BF17" s="366">
        <f t="shared" ref="BF17" si="185">SUM((U17/O17*BE17)*0.3)</f>
        <v>18953.486999999997</v>
      </c>
      <c r="BG17" s="8">
        <f t="shared" ref="BG17" si="186">AL17+AN17+AP17+AT17+AV17+AX17+AZ17+BB17+BD17+BF17+AR17</f>
        <v>18953.486999999997</v>
      </c>
      <c r="BH17" s="42">
        <f t="shared" ref="BH17" si="187">BG17</f>
        <v>18953.486999999997</v>
      </c>
      <c r="BI17" s="42">
        <f>BH17*12</f>
        <v>227441.84399999998</v>
      </c>
    </row>
    <row r="18" spans="1:61" ht="47.25">
      <c r="A18" s="129">
        <v>5</v>
      </c>
      <c r="B18" s="135" t="s">
        <v>170</v>
      </c>
      <c r="C18" s="339" t="s">
        <v>297</v>
      </c>
      <c r="D18" s="212" t="s">
        <v>163</v>
      </c>
      <c r="E18" s="130" t="s">
        <v>161</v>
      </c>
      <c r="F18" s="212" t="s">
        <v>150</v>
      </c>
      <c r="G18" s="212">
        <v>11.03</v>
      </c>
      <c r="H18" s="380">
        <v>4.38</v>
      </c>
      <c r="I18" s="213">
        <f t="shared" si="96"/>
        <v>1.28</v>
      </c>
      <c r="J18" s="232"/>
      <c r="K18" s="236"/>
      <c r="L18" s="306">
        <v>18</v>
      </c>
      <c r="M18" s="306">
        <v>5</v>
      </c>
      <c r="N18" s="229"/>
      <c r="O18" s="314">
        <f t="shared" si="97"/>
        <v>23</v>
      </c>
      <c r="P18" s="43">
        <f>SUM(($H$4*H18)/24)*J18</f>
        <v>0</v>
      </c>
      <c r="Q18" s="40">
        <f>SUM(($H$4*H18)/24)*K18</f>
        <v>0</v>
      </c>
      <c r="R18" s="42">
        <f>($H$4*H18)/18*L18</f>
        <v>77512.860000000015</v>
      </c>
      <c r="S18" s="42">
        <f>($H$4*H18)*M18/18</f>
        <v>21531.35</v>
      </c>
      <c r="T18" s="40">
        <f>($H$4*H18)/18*N18</f>
        <v>0</v>
      </c>
      <c r="U18" s="42">
        <f>SUM(P18:T18)</f>
        <v>99044.210000000021</v>
      </c>
      <c r="V18" s="41"/>
      <c r="W18" s="40">
        <f>(U18*V18)/100</f>
        <v>0</v>
      </c>
      <c r="X18" s="42">
        <f>SUM(U18,W18)</f>
        <v>99044.210000000021</v>
      </c>
      <c r="Y18" s="264"/>
      <c r="Z18" s="42">
        <f>($H$4*0.25)*Y18/18</f>
        <v>0</v>
      </c>
      <c r="AA18" s="265"/>
      <c r="AB18" s="8">
        <f>SUM(($H$4*0.25)/18)*AA18</f>
        <v>0</v>
      </c>
      <c r="AC18" s="42"/>
      <c r="AD18" s="42">
        <f>SUM(($H$4*0.25)/18*AC18)</f>
        <v>0</v>
      </c>
      <c r="AE18" s="264"/>
      <c r="AF18" s="8">
        <f>SUM(($H$4*0.2)/18)*AE18</f>
        <v>0</v>
      </c>
      <c r="AG18" s="264"/>
      <c r="AH18" s="42">
        <f>SUM(($H$4*0.2)/18)*AG18</f>
        <v>0</v>
      </c>
      <c r="AI18" s="264"/>
      <c r="AJ18" s="8">
        <f>SUM(($H$4*0.2)/18)*AI18</f>
        <v>0</v>
      </c>
      <c r="AK18" s="266">
        <f>SUM(Y18,AA18,AC18,AE18,AG18,AI18)</f>
        <v>0</v>
      </c>
      <c r="AL18" s="8">
        <f>SUM(Z18,AB18,AD18,AF18,AH18,AJ18)</f>
        <v>0</v>
      </c>
      <c r="AM18" s="267"/>
      <c r="AN18" s="42">
        <f>SUM($H$4*0.25)*AM18</f>
        <v>0</v>
      </c>
      <c r="AO18" s="265"/>
      <c r="AP18" s="42">
        <f>SUM($H$4*0.3)*AO18</f>
        <v>0</v>
      </c>
      <c r="AQ18" s="42"/>
      <c r="AR18" s="42">
        <f>SUM($H$4*0.2*AQ18)</f>
        <v>0</v>
      </c>
      <c r="AS18" s="264"/>
      <c r="AT18" s="42">
        <f>SUM($H$4*$H18*AS18/18)</f>
        <v>0</v>
      </c>
      <c r="AU18" s="264"/>
      <c r="AV18" s="42">
        <f>SUM($H$4*$H18*AU18/18)*0.7</f>
        <v>0</v>
      </c>
      <c r="AW18" s="267"/>
      <c r="AX18" s="42">
        <f>SUM($H$4*$H18*AW18/18)*0.3</f>
        <v>0</v>
      </c>
      <c r="AY18" s="264"/>
      <c r="AZ18" s="42">
        <f>SUM(($H$4*0.25)/18)*AY18</f>
        <v>0</v>
      </c>
      <c r="BA18" s="42"/>
      <c r="BB18" s="42">
        <f>SUM($H$4*0.2)*BA18</f>
        <v>0</v>
      </c>
      <c r="BC18" s="42"/>
      <c r="BD18" s="42">
        <f>((($H$4*BC18)/100)*20)/100</f>
        <v>0</v>
      </c>
      <c r="BE18" s="40">
        <f>SUM(O18)</f>
        <v>23</v>
      </c>
      <c r="BF18" s="366">
        <f>SUM((U18/O18*BE18)*0.3)</f>
        <v>29713.26300000001</v>
      </c>
      <c r="BG18" s="8">
        <f>AL18+AN18+AP18+AT18+AV18+AX18+AZ18+BB18+BD18+BF18+AR18</f>
        <v>29713.26300000001</v>
      </c>
      <c r="BH18" s="42">
        <f>BG18</f>
        <v>29713.26300000001</v>
      </c>
      <c r="BI18" s="42">
        <f t="shared" ref="BI18" si="188">BH18*12</f>
        <v>356559.15600000013</v>
      </c>
    </row>
    <row r="19" spans="1:61" ht="15.75">
      <c r="A19" s="129">
        <v>6</v>
      </c>
      <c r="B19" s="135"/>
      <c r="C19" s="415"/>
      <c r="D19" s="212"/>
      <c r="E19" s="130"/>
      <c r="F19" s="212"/>
      <c r="G19" s="212"/>
      <c r="H19" s="380"/>
      <c r="I19" s="213"/>
      <c r="J19" s="232"/>
      <c r="K19" s="236"/>
      <c r="L19" s="306"/>
      <c r="M19" s="306"/>
      <c r="N19" s="229"/>
      <c r="O19" s="314"/>
      <c r="P19" s="43"/>
      <c r="Q19" s="40"/>
      <c r="R19" s="42"/>
      <c r="S19" s="42"/>
      <c r="T19" s="40"/>
      <c r="U19" s="42"/>
      <c r="V19" s="41"/>
      <c r="W19" s="40"/>
      <c r="X19" s="42"/>
      <c r="Y19" s="264"/>
      <c r="Z19" s="42"/>
      <c r="AA19" s="265"/>
      <c r="AB19" s="8"/>
      <c r="AC19" s="42"/>
      <c r="AD19" s="42"/>
      <c r="AE19" s="264"/>
      <c r="AF19" s="8"/>
      <c r="AG19" s="264"/>
      <c r="AH19" s="42"/>
      <c r="AI19" s="264"/>
      <c r="AJ19" s="8"/>
      <c r="AK19" s="266"/>
      <c r="AL19" s="8"/>
      <c r="AM19" s="267"/>
      <c r="AN19" s="42"/>
      <c r="AO19" s="265"/>
      <c r="AP19" s="42"/>
      <c r="AQ19" s="42"/>
      <c r="AR19" s="42"/>
      <c r="AS19" s="264"/>
      <c r="AT19" s="42"/>
      <c r="AU19" s="264"/>
      <c r="AV19" s="42"/>
      <c r="AW19" s="267"/>
      <c r="AX19" s="42"/>
      <c r="AY19" s="264"/>
      <c r="AZ19" s="42"/>
      <c r="BA19" s="42"/>
      <c r="BB19" s="42"/>
      <c r="BC19" s="42"/>
      <c r="BD19" s="42"/>
      <c r="BE19" s="40"/>
      <c r="BF19" s="366"/>
      <c r="BG19" s="8"/>
      <c r="BH19" s="42"/>
      <c r="BI19" s="42"/>
    </row>
    <row r="20" spans="1:61" ht="31.5">
      <c r="A20" s="129">
        <v>7</v>
      </c>
      <c r="B20" s="386" t="s">
        <v>418</v>
      </c>
      <c r="C20" s="212" t="s">
        <v>186</v>
      </c>
      <c r="D20" s="212" t="s">
        <v>163</v>
      </c>
      <c r="E20" s="219" t="s">
        <v>161</v>
      </c>
      <c r="F20" s="212" t="s">
        <v>150</v>
      </c>
      <c r="G20" s="212">
        <v>1</v>
      </c>
      <c r="H20" s="381">
        <v>4.1399999999999997</v>
      </c>
      <c r="I20" s="213">
        <f t="shared" si="96"/>
        <v>0.67</v>
      </c>
      <c r="J20" s="232"/>
      <c r="K20" s="236"/>
      <c r="L20" s="306"/>
      <c r="M20" s="306">
        <v>12</v>
      </c>
      <c r="N20" s="229"/>
      <c r="O20" s="314">
        <f t="shared" ref="O20" si="189">SUM(J20:N20)</f>
        <v>12</v>
      </c>
      <c r="P20" s="43">
        <f>SUM(($H$4*H20)/24)*J20</f>
        <v>0</v>
      </c>
      <c r="Q20" s="40">
        <f>SUM(($H$4*H20)/24)*K20</f>
        <v>0</v>
      </c>
      <c r="R20" s="42">
        <f>($H$4*H20)/18*L20</f>
        <v>0</v>
      </c>
      <c r="S20" s="42">
        <f>($H$4*H20)*M20/18</f>
        <v>48843.719999999994</v>
      </c>
      <c r="T20" s="40">
        <f>($H$4*H20)/18*N20</f>
        <v>0</v>
      </c>
      <c r="U20" s="42">
        <f>SUM(P20:T20)</f>
        <v>48843.719999999994</v>
      </c>
      <c r="V20" s="41"/>
      <c r="W20" s="40">
        <f>(U20*V20)/100</f>
        <v>0</v>
      </c>
      <c r="X20" s="42">
        <f>SUM(U20,W20)</f>
        <v>48843.719999999994</v>
      </c>
      <c r="Y20" s="264"/>
      <c r="Z20" s="42">
        <f>($H$4*0.25)*Y20/18</f>
        <v>0</v>
      </c>
      <c r="AA20" s="265"/>
      <c r="AB20" s="8">
        <f>SUM(($H$4*0.25)/18)*AA20</f>
        <v>0</v>
      </c>
      <c r="AC20" s="42"/>
      <c r="AD20" s="42">
        <f>SUM(($H$4*0.25)/18*AC20)</f>
        <v>0</v>
      </c>
      <c r="AE20" s="264"/>
      <c r="AF20" s="8">
        <f>SUM(($H$4*0.2)/18)*AE20</f>
        <v>0</v>
      </c>
      <c r="AG20" s="264"/>
      <c r="AH20" s="42">
        <f>SUM(($H$4*0.2)/18)*AG20</f>
        <v>0</v>
      </c>
      <c r="AI20" s="264"/>
      <c r="AJ20" s="8">
        <f>SUM(($H$4*0.2)/18)*AI20</f>
        <v>0</v>
      </c>
      <c r="AK20" s="266">
        <f>SUM(Y20,AA20,AC20,AE20,AG20,AI20)</f>
        <v>0</v>
      </c>
      <c r="AL20" s="8">
        <f>SUM(Z20,AB20,AD20,AF20,AH20,AJ20)</f>
        <v>0</v>
      </c>
      <c r="AM20" s="267"/>
      <c r="AN20" s="42">
        <f>SUM($H$4*0.25)*AM20</f>
        <v>0</v>
      </c>
      <c r="AO20" s="265"/>
      <c r="AP20" s="42">
        <f>SUM($H$4*0.3)*AO20</f>
        <v>0</v>
      </c>
      <c r="AQ20" s="42"/>
      <c r="AR20" s="42">
        <f>SUM($H$4*0.2*AQ20)</f>
        <v>0</v>
      </c>
      <c r="AS20" s="264"/>
      <c r="AT20" s="42">
        <f>SUM($H$4*$H20*AS20/18)</f>
        <v>0</v>
      </c>
      <c r="AU20" s="264"/>
      <c r="AV20" s="42">
        <f>SUM($H$4*$H20*AU20/18)*0.7</f>
        <v>0</v>
      </c>
      <c r="AW20" s="267"/>
      <c r="AX20" s="42">
        <f>SUM($H$4*$H20*AW20/18)*0.3</f>
        <v>0</v>
      </c>
      <c r="AY20" s="264"/>
      <c r="AZ20" s="42">
        <f>SUM(($H$4*0.25)/18)*AY20</f>
        <v>0</v>
      </c>
      <c r="BA20" s="42"/>
      <c r="BB20" s="42">
        <f>SUM($H$4*0.2)*BA20</f>
        <v>0</v>
      </c>
      <c r="BC20" s="42"/>
      <c r="BD20" s="42">
        <f>((($H$4*BC20)/100)*20)/100</f>
        <v>0</v>
      </c>
      <c r="BE20" s="40">
        <f>SUM(O20)</f>
        <v>12</v>
      </c>
      <c r="BF20" s="366">
        <f>SUM((U20/O20*BE20)*0.3)</f>
        <v>14653.115999999998</v>
      </c>
      <c r="BG20" s="8">
        <f>AL20+AN20+AP20+AT20+AV20+AX20+AZ20+BB20+BD20+BF20+AR20</f>
        <v>14653.115999999998</v>
      </c>
      <c r="BH20" s="42">
        <f>BG20</f>
        <v>14653.115999999998</v>
      </c>
      <c r="BI20" s="42">
        <f t="shared" ref="BI20" si="190">BH20*12</f>
        <v>175837.39199999999</v>
      </c>
    </row>
    <row r="21" spans="1:61" ht="18.75" customHeight="1">
      <c r="A21" s="99"/>
      <c r="B21" s="86" t="s">
        <v>101</v>
      </c>
      <c r="C21" s="341"/>
      <c r="D21" s="100"/>
      <c r="E21" s="101"/>
      <c r="F21" s="102"/>
      <c r="G21" s="103"/>
      <c r="H21" s="288"/>
      <c r="I21" s="86">
        <f>SUM(I14:I18)</f>
        <v>3.3900000000000006</v>
      </c>
      <c r="J21" s="86">
        <f t="shared" ref="J21:BI21" si="191">SUM(J14:J18)</f>
        <v>0</v>
      </c>
      <c r="K21" s="86">
        <f t="shared" si="191"/>
        <v>0</v>
      </c>
      <c r="L21" s="86">
        <f t="shared" si="191"/>
        <v>21</v>
      </c>
      <c r="M21" s="86">
        <f t="shared" si="191"/>
        <v>40</v>
      </c>
      <c r="N21" s="86">
        <f t="shared" si="191"/>
        <v>0</v>
      </c>
      <c r="O21" s="86">
        <f t="shared" si="191"/>
        <v>61</v>
      </c>
      <c r="P21" s="86">
        <f t="shared" si="191"/>
        <v>0</v>
      </c>
      <c r="Q21" s="86">
        <f t="shared" si="191"/>
        <v>0</v>
      </c>
      <c r="R21" s="86">
        <f t="shared" si="191"/>
        <v>89723.790000000008</v>
      </c>
      <c r="S21" s="86">
        <f t="shared" si="191"/>
        <v>172260.63166666668</v>
      </c>
      <c r="T21" s="86">
        <f t="shared" si="191"/>
        <v>0</v>
      </c>
      <c r="U21" s="86">
        <f t="shared" si="191"/>
        <v>261984.42166666669</v>
      </c>
      <c r="V21" s="86">
        <f t="shared" si="191"/>
        <v>0</v>
      </c>
      <c r="W21" s="86">
        <f t="shared" si="191"/>
        <v>0</v>
      </c>
      <c r="X21" s="86">
        <f t="shared" si="191"/>
        <v>261984.42166666669</v>
      </c>
      <c r="Y21" s="86">
        <f t="shared" si="191"/>
        <v>0</v>
      </c>
      <c r="Z21" s="86">
        <f t="shared" si="191"/>
        <v>0</v>
      </c>
      <c r="AA21" s="86">
        <f t="shared" si="191"/>
        <v>0</v>
      </c>
      <c r="AB21" s="86">
        <f t="shared" si="191"/>
        <v>0</v>
      </c>
      <c r="AC21" s="86">
        <f t="shared" si="191"/>
        <v>0</v>
      </c>
      <c r="AD21" s="86">
        <f t="shared" si="191"/>
        <v>0</v>
      </c>
      <c r="AE21" s="86">
        <f t="shared" si="191"/>
        <v>0</v>
      </c>
      <c r="AF21" s="86">
        <f t="shared" si="191"/>
        <v>0</v>
      </c>
      <c r="AG21" s="86">
        <f t="shared" si="191"/>
        <v>0</v>
      </c>
      <c r="AH21" s="86">
        <f t="shared" si="191"/>
        <v>0</v>
      </c>
      <c r="AI21" s="86">
        <f t="shared" si="191"/>
        <v>0</v>
      </c>
      <c r="AJ21" s="86">
        <f t="shared" si="191"/>
        <v>0</v>
      </c>
      <c r="AK21" s="86">
        <f t="shared" si="191"/>
        <v>0</v>
      </c>
      <c r="AL21" s="86">
        <f t="shared" si="191"/>
        <v>0</v>
      </c>
      <c r="AM21" s="86">
        <f t="shared" si="191"/>
        <v>0</v>
      </c>
      <c r="AN21" s="86">
        <f t="shared" si="191"/>
        <v>0</v>
      </c>
      <c r="AO21" s="86">
        <f t="shared" si="191"/>
        <v>0</v>
      </c>
      <c r="AP21" s="86">
        <f t="shared" si="191"/>
        <v>0</v>
      </c>
      <c r="AQ21" s="86">
        <f t="shared" si="191"/>
        <v>0</v>
      </c>
      <c r="AR21" s="86">
        <f t="shared" si="191"/>
        <v>0</v>
      </c>
      <c r="AS21" s="86">
        <f t="shared" si="191"/>
        <v>0</v>
      </c>
      <c r="AT21" s="86">
        <f t="shared" si="191"/>
        <v>0</v>
      </c>
      <c r="AU21" s="86">
        <f t="shared" si="191"/>
        <v>0</v>
      </c>
      <c r="AV21" s="86">
        <f t="shared" si="191"/>
        <v>0</v>
      </c>
      <c r="AW21" s="86">
        <f t="shared" si="191"/>
        <v>0</v>
      </c>
      <c r="AX21" s="86">
        <f t="shared" si="191"/>
        <v>0</v>
      </c>
      <c r="AY21" s="86">
        <f t="shared" si="191"/>
        <v>0</v>
      </c>
      <c r="AZ21" s="86">
        <f t="shared" si="191"/>
        <v>0</v>
      </c>
      <c r="BA21" s="86">
        <f t="shared" si="191"/>
        <v>0</v>
      </c>
      <c r="BB21" s="86">
        <f t="shared" si="191"/>
        <v>0</v>
      </c>
      <c r="BC21" s="86">
        <f t="shared" si="191"/>
        <v>0</v>
      </c>
      <c r="BD21" s="86">
        <f t="shared" si="191"/>
        <v>0</v>
      </c>
      <c r="BE21" s="86">
        <f t="shared" si="191"/>
        <v>61</v>
      </c>
      <c r="BF21" s="86">
        <f t="shared" si="191"/>
        <v>78595.32650000001</v>
      </c>
      <c r="BG21" s="86">
        <f t="shared" si="191"/>
        <v>78595.32650000001</v>
      </c>
      <c r="BH21" s="86">
        <f t="shared" si="191"/>
        <v>78595.32650000001</v>
      </c>
      <c r="BI21" s="86">
        <f t="shared" si="191"/>
        <v>943143.9180000003</v>
      </c>
    </row>
    <row r="22" spans="1:61" ht="20.100000000000001" customHeight="1">
      <c r="A22" s="63"/>
      <c r="B22" s="73" t="s">
        <v>103</v>
      </c>
      <c r="C22" s="343"/>
      <c r="D22" s="73"/>
      <c r="E22" s="73"/>
      <c r="F22" s="74"/>
      <c r="G22" s="73"/>
      <c r="H22" s="70"/>
      <c r="I22" s="268">
        <f>SUM(I10+I13+I21)</f>
        <v>7.11</v>
      </c>
      <c r="J22" s="268">
        <f t="shared" ref="J22:BI22" si="192">SUM(J10+J13+J21)</f>
        <v>0</v>
      </c>
      <c r="K22" s="268">
        <f t="shared" si="192"/>
        <v>0</v>
      </c>
      <c r="L22" s="268">
        <f t="shared" si="192"/>
        <v>21</v>
      </c>
      <c r="M22" s="268">
        <f t="shared" si="192"/>
        <v>107</v>
      </c>
      <c r="N22" s="268">
        <f t="shared" si="192"/>
        <v>0</v>
      </c>
      <c r="O22" s="268">
        <f t="shared" si="192"/>
        <v>128</v>
      </c>
      <c r="P22" s="268">
        <f t="shared" si="192"/>
        <v>0</v>
      </c>
      <c r="Q22" s="268">
        <f t="shared" si="192"/>
        <v>0</v>
      </c>
      <c r="R22" s="268">
        <f t="shared" si="192"/>
        <v>89723.790000000008</v>
      </c>
      <c r="S22" s="268">
        <f t="shared" si="192"/>
        <v>495761.79166666663</v>
      </c>
      <c r="T22" s="268">
        <f t="shared" si="192"/>
        <v>0</v>
      </c>
      <c r="U22" s="268">
        <f t="shared" si="192"/>
        <v>585485.58166666667</v>
      </c>
      <c r="V22" s="268">
        <f t="shared" si="192"/>
        <v>0</v>
      </c>
      <c r="W22" s="268">
        <f t="shared" si="192"/>
        <v>0</v>
      </c>
      <c r="X22" s="268">
        <f t="shared" si="192"/>
        <v>585485.58166666667</v>
      </c>
      <c r="Y22" s="268">
        <f t="shared" si="192"/>
        <v>0</v>
      </c>
      <c r="Z22" s="268">
        <f t="shared" si="192"/>
        <v>0</v>
      </c>
      <c r="AA22" s="268">
        <f t="shared" si="192"/>
        <v>0</v>
      </c>
      <c r="AB22" s="268">
        <f t="shared" si="192"/>
        <v>0</v>
      </c>
      <c r="AC22" s="268">
        <f t="shared" si="192"/>
        <v>0</v>
      </c>
      <c r="AD22" s="268">
        <f t="shared" si="192"/>
        <v>0</v>
      </c>
      <c r="AE22" s="268">
        <f t="shared" si="192"/>
        <v>0</v>
      </c>
      <c r="AF22" s="268">
        <f t="shared" si="192"/>
        <v>0</v>
      </c>
      <c r="AG22" s="268">
        <f t="shared" si="192"/>
        <v>0</v>
      </c>
      <c r="AH22" s="268">
        <f t="shared" si="192"/>
        <v>0</v>
      </c>
      <c r="AI22" s="268">
        <f t="shared" si="192"/>
        <v>0</v>
      </c>
      <c r="AJ22" s="268">
        <f t="shared" si="192"/>
        <v>0</v>
      </c>
      <c r="AK22" s="268">
        <f t="shared" si="192"/>
        <v>0</v>
      </c>
      <c r="AL22" s="268">
        <f t="shared" si="192"/>
        <v>0</v>
      </c>
      <c r="AM22" s="268">
        <f t="shared" si="192"/>
        <v>0</v>
      </c>
      <c r="AN22" s="268">
        <f t="shared" si="192"/>
        <v>0</v>
      </c>
      <c r="AO22" s="268">
        <f t="shared" si="192"/>
        <v>0</v>
      </c>
      <c r="AP22" s="268">
        <f t="shared" si="192"/>
        <v>0</v>
      </c>
      <c r="AQ22" s="268">
        <f t="shared" si="192"/>
        <v>0</v>
      </c>
      <c r="AR22" s="268">
        <f t="shared" si="192"/>
        <v>0</v>
      </c>
      <c r="AS22" s="268">
        <f t="shared" si="192"/>
        <v>0</v>
      </c>
      <c r="AT22" s="268">
        <f t="shared" si="192"/>
        <v>0</v>
      </c>
      <c r="AU22" s="268">
        <f t="shared" si="192"/>
        <v>0</v>
      </c>
      <c r="AV22" s="268">
        <f t="shared" si="192"/>
        <v>0</v>
      </c>
      <c r="AW22" s="268">
        <f t="shared" si="192"/>
        <v>0</v>
      </c>
      <c r="AX22" s="268">
        <f t="shared" si="192"/>
        <v>0</v>
      </c>
      <c r="AY22" s="268">
        <f t="shared" si="192"/>
        <v>0</v>
      </c>
      <c r="AZ22" s="268">
        <f t="shared" si="192"/>
        <v>0</v>
      </c>
      <c r="BA22" s="268">
        <f t="shared" si="192"/>
        <v>0</v>
      </c>
      <c r="BB22" s="268">
        <f t="shared" si="192"/>
        <v>0</v>
      </c>
      <c r="BC22" s="268">
        <f t="shared" si="192"/>
        <v>0</v>
      </c>
      <c r="BD22" s="268">
        <f t="shared" si="192"/>
        <v>0</v>
      </c>
      <c r="BE22" s="268">
        <f t="shared" si="192"/>
        <v>128</v>
      </c>
      <c r="BF22" s="268">
        <f t="shared" si="192"/>
        <v>175645.67450000002</v>
      </c>
      <c r="BG22" s="268">
        <f t="shared" si="192"/>
        <v>175645.67450000002</v>
      </c>
      <c r="BH22" s="268">
        <f t="shared" si="192"/>
        <v>175645.67450000002</v>
      </c>
      <c r="BI22" s="268">
        <f t="shared" si="192"/>
        <v>2107748.0940000005</v>
      </c>
    </row>
    <row r="23" spans="1:61" ht="15.75">
      <c r="A23" s="11"/>
      <c r="B23" s="13"/>
      <c r="C23" s="332"/>
      <c r="D23" s="13"/>
      <c r="E23" s="13"/>
      <c r="F23" s="76"/>
      <c r="G23" s="13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</row>
    <row r="24" spans="1:61" ht="15.75">
      <c r="A24" s="13"/>
      <c r="B24" s="57"/>
      <c r="C24" s="344" t="s">
        <v>217</v>
      </c>
      <c r="D24" s="273"/>
      <c r="E24" s="104"/>
      <c r="F24" s="104"/>
      <c r="G24" s="104"/>
      <c r="H24" s="104" t="s">
        <v>145</v>
      </c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14"/>
      <c r="T24" s="295" t="s">
        <v>349</v>
      </c>
      <c r="U24" s="273"/>
      <c r="V24" s="14"/>
      <c r="W24" s="59"/>
      <c r="X24" s="59"/>
      <c r="Y24" s="59"/>
      <c r="Z24" s="14"/>
      <c r="AA24" s="14"/>
      <c r="AB24" s="14"/>
      <c r="AC24" s="14"/>
      <c r="AD24" s="14"/>
      <c r="AE24" s="78"/>
      <c r="AF24" s="14"/>
      <c r="AG24" s="78"/>
      <c r="AH24" s="14"/>
      <c r="AI24" s="78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298"/>
      <c r="BG24" s="298" t="s">
        <v>357</v>
      </c>
      <c r="BH24" s="14"/>
      <c r="BI24" s="14"/>
    </row>
    <row r="25" spans="1:61" ht="15.75">
      <c r="A25" s="13"/>
      <c r="B25" s="14"/>
      <c r="C25" s="344"/>
      <c r="D25" s="273"/>
      <c r="E25" s="105"/>
      <c r="F25" s="105"/>
      <c r="G25" s="105"/>
      <c r="H25" s="105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14"/>
      <c r="T25" s="273"/>
      <c r="U25" s="273" t="s">
        <v>43</v>
      </c>
      <c r="V25" s="14"/>
      <c r="W25" s="59"/>
      <c r="X25" s="59"/>
      <c r="Y25" s="59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59"/>
      <c r="BG25" s="59"/>
      <c r="BH25" s="14"/>
      <c r="BI25" s="14"/>
    </row>
    <row r="26" spans="1:61" ht="15.75">
      <c r="A26" s="14"/>
      <c r="B26" s="14"/>
      <c r="C26" s="335" t="s">
        <v>96</v>
      </c>
      <c r="D26" s="58"/>
      <c r="E26" s="104"/>
      <c r="F26" s="104"/>
      <c r="G26" s="104"/>
      <c r="H26" s="104" t="s">
        <v>147</v>
      </c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14"/>
      <c r="T26" s="438" t="s">
        <v>376</v>
      </c>
      <c r="U26" s="438"/>
      <c r="V26" s="14"/>
      <c r="W26" s="59"/>
      <c r="X26" s="59"/>
      <c r="Y26" s="59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59"/>
      <c r="BG26" s="59" t="s">
        <v>44</v>
      </c>
      <c r="BH26" s="14"/>
      <c r="BI26" s="14"/>
    </row>
    <row r="27" spans="1:61" ht="15.75">
      <c r="A27" s="14"/>
      <c r="B27" s="14"/>
      <c r="C27" s="335"/>
      <c r="D27" s="58"/>
      <c r="E27" s="58"/>
      <c r="F27" s="58"/>
      <c r="G27" s="58"/>
      <c r="H27" s="58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14"/>
      <c r="T27" s="273"/>
      <c r="U27" s="273"/>
      <c r="V27" s="14"/>
      <c r="W27" s="59"/>
      <c r="X27" s="59"/>
      <c r="Y27" s="59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59"/>
      <c r="BG27" s="59"/>
      <c r="BH27" s="14"/>
      <c r="BI27" s="14"/>
    </row>
    <row r="28" spans="1:61" ht="15.75">
      <c r="A28" s="14"/>
      <c r="B28" s="14"/>
      <c r="C28" s="335" t="s">
        <v>97</v>
      </c>
      <c r="D28" s="58"/>
      <c r="E28" s="58"/>
      <c r="F28" s="58"/>
      <c r="G28" s="58"/>
      <c r="H28" s="58" t="s">
        <v>344</v>
      </c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14"/>
      <c r="T28" s="746" t="s">
        <v>45</v>
      </c>
      <c r="U28" s="746"/>
      <c r="V28" s="14"/>
      <c r="W28" s="59"/>
      <c r="X28" s="59"/>
      <c r="Y28" s="59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59"/>
      <c r="BG28" s="59" t="s">
        <v>46</v>
      </c>
      <c r="BH28" s="14"/>
      <c r="BI28" s="14"/>
    </row>
    <row r="29" spans="1:61">
      <c r="A29" s="14"/>
      <c r="B29" s="1"/>
      <c r="C29" s="4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5.75" customHeight="1">
      <c r="A30" s="14"/>
      <c r="B30" s="1"/>
      <c r="C30" s="4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703" t="s">
        <v>295</v>
      </c>
      <c r="U30" s="703"/>
      <c r="V30" s="703"/>
      <c r="W30" s="1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63"/>
      <c r="BF30" s="59"/>
      <c r="BG30" s="59" t="s">
        <v>296</v>
      </c>
      <c r="BH30" s="1"/>
      <c r="BI30" s="1"/>
    </row>
    <row r="31" spans="1:61">
      <c r="A31" s="1"/>
      <c r="B31" s="1"/>
      <c r="C31" s="4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>
      <c r="A32" s="1"/>
    </row>
    <row r="33" spans="1:1">
      <c r="A33" s="1"/>
    </row>
  </sheetData>
  <mergeCells count="35">
    <mergeCell ref="T30:V30"/>
    <mergeCell ref="T28:U28"/>
    <mergeCell ref="I5:O5"/>
    <mergeCell ref="P5:U6"/>
    <mergeCell ref="BH5:BH7"/>
    <mergeCell ref="AU6:AV6"/>
    <mergeCell ref="AW6:AX6"/>
    <mergeCell ref="AY6:AZ6"/>
    <mergeCell ref="Y6:AK6"/>
    <mergeCell ref="AM6:AP6"/>
    <mergeCell ref="AQ6:AR6"/>
    <mergeCell ref="AS6:AT6"/>
    <mergeCell ref="BI5:BI7"/>
    <mergeCell ref="E6:E7"/>
    <mergeCell ref="F6:F7"/>
    <mergeCell ref="G6:G7"/>
    <mergeCell ref="H6:H7"/>
    <mergeCell ref="I6:I7"/>
    <mergeCell ref="J6:O6"/>
    <mergeCell ref="BG6:BG7"/>
    <mergeCell ref="BC6:BD6"/>
    <mergeCell ref="BE6:BF6"/>
    <mergeCell ref="BA6:BB6"/>
    <mergeCell ref="V6:W6"/>
    <mergeCell ref="X6:X7"/>
    <mergeCell ref="B1:D1"/>
    <mergeCell ref="B2:K2"/>
    <mergeCell ref="B3:F3"/>
    <mergeCell ref="K3:T3"/>
    <mergeCell ref="K4:T4"/>
    <mergeCell ref="A5:A7"/>
    <mergeCell ref="B5:B7"/>
    <mergeCell ref="C5:C7"/>
    <mergeCell ref="D5:D7"/>
    <mergeCell ref="E5:F5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colBreaks count="1" manualBreakCount="1">
    <brk id="16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12</vt:i4>
      </vt:variant>
    </vt:vector>
  </HeadingPairs>
  <TitlesOfParts>
    <vt:vector size="25" baseType="lpstr">
      <vt:lpstr>показатели  </vt:lpstr>
      <vt:lpstr>нагрузка</vt:lpstr>
      <vt:lpstr>пров_тетр</vt:lpstr>
      <vt:lpstr>фак_кружки</vt:lpstr>
      <vt:lpstr>деление групп</vt:lpstr>
      <vt:lpstr>учителя </vt:lpstr>
      <vt:lpstr>Адмхоз </vt:lpstr>
      <vt:lpstr>учителя 30 %</vt:lpstr>
      <vt:lpstr>учителя без серт 30 %</vt:lpstr>
      <vt:lpstr>учителя  на препод наин яз</vt:lpstr>
      <vt:lpstr>квалификационный тест</vt:lpstr>
      <vt:lpstr>it</vt:lpstr>
      <vt:lpstr>Лист1</vt:lpstr>
      <vt:lpstr>фак_кружки!Excel_BuiltIn_Print_Area_7</vt:lpstr>
      <vt:lpstr>it!Область_печати</vt:lpstr>
      <vt:lpstr>'Адмхоз '!Область_печати</vt:lpstr>
      <vt:lpstr>'деление групп'!Область_печати</vt:lpstr>
      <vt:lpstr>'квалификационный тест'!Область_печати</vt:lpstr>
      <vt:lpstr>нагрузка!Область_печати</vt:lpstr>
      <vt:lpstr>пров_тетр!Область_печати</vt:lpstr>
      <vt:lpstr>'учителя '!Область_печати</vt:lpstr>
      <vt:lpstr>'учителя  на препод наин яз'!Область_печати</vt:lpstr>
      <vt:lpstr>'учителя 30 %'!Область_печати</vt:lpstr>
      <vt:lpstr>'учителя без серт 30 %'!Область_печати</vt:lpstr>
      <vt:lpstr>фак_кружки!Область_печати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2020-09-16T10:35:54Z</cp:lastPrinted>
  <dcterms:created xsi:type="dcterms:W3CDTF">2016-06-22T11:28:50Z</dcterms:created>
  <dcterms:modified xsi:type="dcterms:W3CDTF">2020-10-27T05:16:15Z</dcterms:modified>
</cp:coreProperties>
</file>